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charts/colors9.xml" ContentType="application/vnd.ms-office.chartcolorstyl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5.xml" ContentType="application/vnd.openxmlformats-officedocument.drawing+xml"/>
  <Override PartName="/xl/externalLinks/externalLink2.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externalLinks/externalLink1.xml" ContentType="application/vnd.openxmlformats-officedocument.spreadsheetml.externalLink+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hreadedComments/threadedComment5.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threadedComments/threadedComment6.xml" ContentType="application/vnd.ms-excel.threadedcomment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HsuY\Documents\1-SPECIATE\Incorporated Profiles\2023\"/>
    </mc:Choice>
  </mc:AlternateContent>
  <xr:revisionPtr revIDLastSave="0" documentId="13_ncr:1_{3E23BCAC-3F5D-4BBF-A1DD-0EE7818337E3}" xr6:coauthVersionLast="47" xr6:coauthVersionMax="47" xr10:uidLastSave="{00000000-0000-0000-0000-000000000000}"/>
  <bookViews>
    <workbookView xWindow="1920" yWindow="480" windowWidth="25620" windowHeight="13545" tabRatio="790" firstSheet="8" activeTab="12" xr2:uid="{00000000-000D-0000-FFFF-FFFF00000000}"/>
  </bookViews>
  <sheets>
    <sheet name="Read Me" sheetId="19" state="hidden" r:id="rId1"/>
    <sheet name="Data Dictionary" sheetId="20" state="hidden" r:id="rId2"/>
    <sheet name="Filter Weights" sheetId="14" state="hidden" r:id="rId3"/>
    <sheet name="Backgrounds" sheetId="17" state="hidden" r:id="rId4"/>
    <sheet name="Phase Parameters" sheetId="3" state="hidden" r:id="rId5"/>
    <sheet name="Phase CEMS PM Concentrations" sheetId="5" state="hidden" r:id="rId6"/>
    <sheet name="Phase CEMS VOC Concentration" sheetId="12" state="hidden" r:id="rId7"/>
    <sheet name="Emission Factors" sheetId="6" state="hidden" r:id="rId8"/>
    <sheet name="Data for SPECIATE" sheetId="18" r:id="rId9"/>
    <sheet name="PM Protocol" sheetId="22" r:id="rId10"/>
    <sheet name="Composites" sheetId="29" r:id="rId11"/>
    <sheet name="Composites Request" sheetId="28" state="hidden" r:id="rId12"/>
    <sheet name="PROFILES" sheetId="30" r:id="rId13"/>
    <sheet name="SPECIES" sheetId="31" r:id="rId14"/>
    <sheet name="REFERENCES" sheetId="32" r:id="rId15"/>
    <sheet name="PROFILE_REFERENCE_CROSSWALK" sheetId="33" r:id="rId16"/>
    <sheet name="Oxides" sheetId="21" state="hidden" r:id="rId17"/>
  </sheets>
  <externalReferences>
    <externalReference r:id="rId18"/>
    <externalReference r:id="rId19"/>
  </externalReferences>
  <definedNames>
    <definedName name="_xlnm._FilterDatabase" localSheetId="15" hidden="1">PROFILE_REFERENCE_CROSSWALK!$B$1:$B$24</definedName>
    <definedName name="_xlnm._FilterDatabase" localSheetId="14" hidden="1">REFERENCES!#REF!</definedName>
    <definedName name="_xlnm._FilterDatabase" localSheetId="13" hidden="1">SPECIES!$A$1:$I$408</definedName>
    <definedName name="_xlnm.Extract" localSheetId="15">PROFILE_REFERENCE_CROSSWALK!#REF!</definedName>
    <definedName name="_xlnm.Extract" localSheetId="14">REFERENCES!#REF!</definedName>
    <definedName name="_xlnm.Extract" localSheetId="13">SPECIES!#REF!</definedName>
    <definedName name="solver_adj" localSheetId="9" hidden="1">'PM Protocol'!$R$106</definedName>
    <definedName name="solver_cvg" localSheetId="9" hidden="1">0.0001</definedName>
    <definedName name="solver_drv" localSheetId="9" hidden="1">1</definedName>
    <definedName name="solver_eng" localSheetId="9" hidden="1">1</definedName>
    <definedName name="solver_est" localSheetId="9" hidden="1">1</definedName>
    <definedName name="solver_itr" localSheetId="9" hidden="1">2147483647</definedName>
    <definedName name="solver_mip" localSheetId="9" hidden="1">2147483647</definedName>
    <definedName name="solver_mni" localSheetId="9" hidden="1">30</definedName>
    <definedName name="solver_mrt" localSheetId="9" hidden="1">0.075</definedName>
    <definedName name="solver_msl" localSheetId="9" hidden="1">2</definedName>
    <definedName name="solver_neg" localSheetId="9" hidden="1">1</definedName>
    <definedName name="solver_nod" localSheetId="9" hidden="1">2147483647</definedName>
    <definedName name="solver_num" localSheetId="9" hidden="1">0</definedName>
    <definedName name="solver_nwt" localSheetId="9" hidden="1">1</definedName>
    <definedName name="solver_opt" localSheetId="9" hidden="1">'PM Protocol'!$R$104</definedName>
    <definedName name="solver_pre" localSheetId="9" hidden="1">0.000001</definedName>
    <definedName name="solver_rbv" localSheetId="9" hidden="1">1</definedName>
    <definedName name="solver_rlx" localSheetId="9" hidden="1">2</definedName>
    <definedName name="solver_rsd" localSheetId="9" hidden="1">0</definedName>
    <definedName name="solver_scl" localSheetId="9" hidden="1">1</definedName>
    <definedName name="solver_sho" localSheetId="9" hidden="1">2</definedName>
    <definedName name="solver_ssz" localSheetId="9" hidden="1">100</definedName>
    <definedName name="solver_tim" localSheetId="9" hidden="1">2147483647</definedName>
    <definedName name="solver_tol" localSheetId="9" hidden="1">0.01</definedName>
    <definedName name="solver_typ" localSheetId="9" hidden="1">3</definedName>
    <definedName name="solver_val" localSheetId="9" hidden="1">0</definedName>
    <definedName name="solver_ver" localSheetId="9" hidden="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29" l="1"/>
  <c r="B14" i="29"/>
  <c r="B15" i="29"/>
  <c r="B16" i="29"/>
  <c r="B17" i="29"/>
  <c r="B18" i="29"/>
  <c r="B19" i="29"/>
  <c r="B20" i="29"/>
  <c r="B21" i="29"/>
  <c r="B22" i="29"/>
  <c r="B23" i="29"/>
  <c r="B24" i="29"/>
  <c r="B25" i="29"/>
  <c r="B26" i="29"/>
  <c r="B27" i="29"/>
  <c r="B28" i="29"/>
  <c r="B29" i="29"/>
  <c r="B30" i="29"/>
  <c r="B31" i="29"/>
  <c r="B32" i="29"/>
  <c r="B33" i="29"/>
  <c r="B34" i="29"/>
  <c r="B35" i="29"/>
  <c r="B36" i="29"/>
  <c r="B37" i="29"/>
  <c r="B38" i="29"/>
  <c r="B39" i="29"/>
  <c r="B40" i="29"/>
  <c r="B41" i="29"/>
  <c r="B42" i="29"/>
  <c r="B43" i="29"/>
  <c r="B44" i="29"/>
  <c r="B45" i="29"/>
  <c r="B46" i="29"/>
  <c r="B47" i="29"/>
  <c r="B48" i="29"/>
  <c r="B49" i="29"/>
  <c r="B50" i="29"/>
  <c r="B51" i="29"/>
  <c r="B52" i="29"/>
  <c r="B53" i="29"/>
  <c r="B54" i="29"/>
  <c r="B55" i="29"/>
  <c r="B56" i="29"/>
  <c r="B57" i="29"/>
  <c r="B58" i="29"/>
  <c r="B59" i="29"/>
  <c r="B60" i="29"/>
  <c r="B61" i="29"/>
  <c r="B62" i="29"/>
  <c r="B63" i="29"/>
  <c r="B64" i="29"/>
  <c r="B65" i="29"/>
  <c r="B66" i="29"/>
  <c r="B67" i="29"/>
  <c r="B68" i="29"/>
  <c r="B69" i="29"/>
  <c r="B70" i="29"/>
  <c r="B71" i="29"/>
  <c r="B72" i="29"/>
  <c r="B73" i="29"/>
  <c r="B74" i="29"/>
  <c r="B75" i="29"/>
  <c r="B76" i="29"/>
  <c r="B77" i="29"/>
  <c r="B78" i="29"/>
  <c r="B79" i="29"/>
  <c r="B80" i="29"/>
  <c r="B81" i="29"/>
  <c r="B82" i="29"/>
  <c r="B83" i="29"/>
  <c r="B84" i="29"/>
  <c r="B85" i="29"/>
  <c r="B86" i="29"/>
  <c r="B87" i="29"/>
  <c r="B88" i="29"/>
  <c r="B89" i="29"/>
  <c r="B90" i="29"/>
  <c r="B91" i="29"/>
  <c r="B92" i="29"/>
  <c r="B93" i="29"/>
  <c r="B94" i="29"/>
  <c r="B95" i="29"/>
  <c r="B96" i="29"/>
  <c r="B97" i="29"/>
  <c r="B98" i="29"/>
  <c r="B99" i="29"/>
  <c r="B100" i="29"/>
  <c r="B101" i="29"/>
  <c r="B102" i="29"/>
  <c r="B103" i="29"/>
  <c r="B102" i="22"/>
  <c r="B101" i="22"/>
  <c r="B99" i="22"/>
  <c r="B98" i="22"/>
  <c r="B97" i="22"/>
  <c r="B96" i="22"/>
  <c r="B95" i="22"/>
  <c r="B94" i="22"/>
  <c r="B93" i="22"/>
  <c r="B92" i="22"/>
  <c r="B91" i="22"/>
  <c r="B90" i="22"/>
  <c r="B89" i="22"/>
  <c r="B88" i="22"/>
  <c r="B87" i="22"/>
  <c r="B86" i="22"/>
  <c r="B85" i="22"/>
  <c r="B84" i="22"/>
  <c r="B83" i="22"/>
  <c r="B82" i="22"/>
  <c r="B81" i="22"/>
  <c r="B80" i="22"/>
  <c r="B79" i="22"/>
  <c r="B78" i="22"/>
  <c r="B31" i="22"/>
  <c r="B29" i="22"/>
  <c r="B28" i="22"/>
  <c r="B27" i="22"/>
  <c r="B25" i="22"/>
  <c r="B23" i="22"/>
  <c r="B21" i="22"/>
  <c r="B20" i="22"/>
  <c r="B19" i="22"/>
  <c r="B18" i="22"/>
  <c r="B13" i="22"/>
  <c r="B12" i="22"/>
  <c r="G3" i="29" l="1"/>
  <c r="Z4" i="22"/>
  <c r="Y4" i="22"/>
  <c r="X4" i="22"/>
  <c r="W4" i="22"/>
  <c r="V4" i="22"/>
  <c r="U4" i="22"/>
  <c r="F4" i="22"/>
  <c r="G4" i="22"/>
  <c r="H4" i="22"/>
  <c r="I4" i="22"/>
  <c r="J4" i="22"/>
  <c r="K4" i="22"/>
  <c r="L4" i="22"/>
  <c r="E3" i="29" s="1"/>
  <c r="N3" i="29" s="1"/>
  <c r="M4" i="22"/>
  <c r="N4" i="22"/>
  <c r="O4" i="22"/>
  <c r="P4" i="22"/>
  <c r="Q4" i="22"/>
  <c r="H3" i="29" s="1"/>
  <c r="R4" i="22"/>
  <c r="F3" i="29" s="1"/>
  <c r="K3" i="29" s="1"/>
  <c r="S4" i="22"/>
  <c r="T4" i="22"/>
  <c r="D3" i="29" s="1"/>
  <c r="M3" i="29" s="1"/>
  <c r="E4" i="22"/>
  <c r="I3" i="29" s="1"/>
  <c r="L3" i="29" l="1"/>
  <c r="O3" i="29"/>
  <c r="J3" i="29"/>
  <c r="C13" i="22"/>
  <c r="C14" i="22"/>
  <c r="C15" i="22"/>
  <c r="C16" i="22"/>
  <c r="C17" i="22"/>
  <c r="C18" i="22"/>
  <c r="C19" i="22"/>
  <c r="C20" i="22"/>
  <c r="C21" i="22"/>
  <c r="C22" i="22"/>
  <c r="C23" i="22"/>
  <c r="C24" i="22"/>
  <c r="C25" i="22"/>
  <c r="C26" i="22"/>
  <c r="C27" i="22"/>
  <c r="C28" i="22"/>
  <c r="C29" i="22"/>
  <c r="C30" i="22"/>
  <c r="C31" i="22"/>
  <c r="C32" i="22"/>
  <c r="C33" i="22"/>
  <c r="C34" i="22"/>
  <c r="C35" i="22"/>
  <c r="C36" i="22"/>
  <c r="C37" i="22"/>
  <c r="C38" i="22"/>
  <c r="C39" i="22"/>
  <c r="C40" i="22"/>
  <c r="C41" i="22"/>
  <c r="C42" i="22"/>
  <c r="C43" i="22"/>
  <c r="C44" i="22"/>
  <c r="C45" i="22"/>
  <c r="C46" i="22"/>
  <c r="C47" i="22"/>
  <c r="C48" i="22"/>
  <c r="C49" i="22"/>
  <c r="C50" i="22"/>
  <c r="C51" i="22"/>
  <c r="C52" i="22"/>
  <c r="C53" i="22"/>
  <c r="C54" i="22"/>
  <c r="C55" i="22"/>
  <c r="C56" i="22"/>
  <c r="C57" i="22"/>
  <c r="C58" i="22"/>
  <c r="C59" i="22"/>
  <c r="C60" i="22"/>
  <c r="C61" i="22"/>
  <c r="C62" i="22"/>
  <c r="C63" i="22"/>
  <c r="C64" i="22"/>
  <c r="C65" i="22"/>
  <c r="C66" i="22"/>
  <c r="C67" i="22"/>
  <c r="C68" i="22"/>
  <c r="C69" i="22"/>
  <c r="C70" i="22"/>
  <c r="C71" i="22"/>
  <c r="C72" i="22"/>
  <c r="C73" i="22"/>
  <c r="C74" i="22"/>
  <c r="C75" i="22"/>
  <c r="C76" i="22"/>
  <c r="C77" i="22"/>
  <c r="C78" i="22"/>
  <c r="C79" i="22"/>
  <c r="C80" i="22"/>
  <c r="C81" i="22"/>
  <c r="C82" i="22"/>
  <c r="C83" i="22"/>
  <c r="C84" i="22"/>
  <c r="C85" i="22"/>
  <c r="C86" i="22"/>
  <c r="C87" i="22"/>
  <c r="C88" i="22"/>
  <c r="C89" i="22"/>
  <c r="C90" i="22"/>
  <c r="C91" i="22"/>
  <c r="C92" i="22"/>
  <c r="C93" i="22"/>
  <c r="C94" i="22"/>
  <c r="C95" i="22"/>
  <c r="C96" i="22"/>
  <c r="C97" i="22"/>
  <c r="C98" i="22"/>
  <c r="C99" i="22"/>
  <c r="C100" i="22"/>
  <c r="C101" i="22"/>
  <c r="C102" i="22"/>
  <c r="C12" i="22"/>
  <c r="D31" i="6" l="1"/>
  <c r="C31" i="6"/>
  <c r="J45" i="6" l="1"/>
  <c r="D31" i="5"/>
  <c r="C31" i="5"/>
  <c r="Y34" i="17"/>
  <c r="N34" i="17"/>
  <c r="R29" i="6"/>
  <c r="R28" i="6"/>
  <c r="R27" i="6"/>
  <c r="R26" i="6"/>
  <c r="K45" i="6" l="1"/>
  <c r="G47" i="3"/>
  <c r="G44" i="3"/>
  <c r="G42" i="3"/>
  <c r="G41" i="3"/>
  <c r="G39" i="3"/>
  <c r="G38" i="3"/>
  <c r="G36" i="3"/>
  <c r="G35" i="3"/>
  <c r="G32" i="3"/>
  <c r="BQ40" i="17"/>
  <c r="BP40" i="17"/>
  <c r="BO40" i="17"/>
  <c r="BN40" i="17"/>
  <c r="BM40" i="17"/>
  <c r="BL40" i="17"/>
  <c r="BK40" i="17"/>
  <c r="BJ40" i="17"/>
  <c r="BI40" i="17"/>
  <c r="BH40" i="17"/>
  <c r="BG40" i="17"/>
  <c r="BF40" i="17"/>
  <c r="BE40" i="17"/>
  <c r="BD40" i="17"/>
  <c r="BC40" i="17"/>
  <c r="BB40" i="17"/>
  <c r="BA40" i="17"/>
  <c r="AZ40" i="17"/>
  <c r="AY40" i="17"/>
  <c r="AX40" i="17"/>
  <c r="AW40" i="17"/>
  <c r="AV40" i="17"/>
  <c r="AU40" i="17"/>
  <c r="AT40" i="17"/>
  <c r="AS40" i="17"/>
  <c r="AR40" i="17"/>
  <c r="AQ40" i="17"/>
  <c r="AP40" i="17"/>
  <c r="AO40" i="17"/>
  <c r="AN40" i="17"/>
  <c r="AM40" i="17"/>
  <c r="AL40" i="17"/>
  <c r="AK40" i="17"/>
  <c r="AJ40" i="17"/>
  <c r="AI40" i="17"/>
  <c r="AH40" i="17"/>
  <c r="AG40" i="17"/>
  <c r="AF40" i="17"/>
  <c r="AE40" i="17"/>
  <c r="AD40" i="17"/>
  <c r="AC40" i="17"/>
  <c r="AB40" i="17"/>
  <c r="AA40" i="17"/>
  <c r="Z40" i="17"/>
  <c r="Y40" i="17"/>
  <c r="X40" i="17"/>
  <c r="W40" i="17"/>
  <c r="V40" i="17"/>
  <c r="U40" i="17"/>
  <c r="T40" i="17"/>
  <c r="S40" i="17"/>
  <c r="R40" i="17"/>
  <c r="Q40" i="17"/>
  <c r="P40" i="17"/>
  <c r="O40" i="17"/>
  <c r="N40" i="17"/>
  <c r="M40" i="17"/>
  <c r="L40" i="17"/>
  <c r="K40" i="17"/>
  <c r="J40" i="17"/>
  <c r="I40" i="17"/>
  <c r="H40" i="17"/>
  <c r="BQ39" i="17"/>
  <c r="BP39" i="17"/>
  <c r="BO39" i="17"/>
  <c r="BN39" i="17"/>
  <c r="BM39" i="17"/>
  <c r="BL39" i="17"/>
  <c r="BK39" i="17"/>
  <c r="BJ39" i="17"/>
  <c r="BI39" i="17"/>
  <c r="BH39" i="17"/>
  <c r="BG39" i="17"/>
  <c r="BF39" i="17"/>
  <c r="BE39" i="17"/>
  <c r="BD39" i="17"/>
  <c r="BC39" i="17"/>
  <c r="BB39" i="17"/>
  <c r="BA39" i="17"/>
  <c r="AZ39" i="17"/>
  <c r="AY39" i="17"/>
  <c r="AX39" i="17"/>
  <c r="AW39" i="17"/>
  <c r="AV39" i="17"/>
  <c r="AU39" i="17"/>
  <c r="AT39" i="17"/>
  <c r="AS39" i="17"/>
  <c r="AR39" i="17"/>
  <c r="AQ39" i="17"/>
  <c r="AP39" i="17"/>
  <c r="AO39" i="17"/>
  <c r="AN39" i="17"/>
  <c r="AM39" i="17"/>
  <c r="AL39" i="17"/>
  <c r="AK39" i="17"/>
  <c r="AJ39" i="17"/>
  <c r="AI39" i="17"/>
  <c r="AH39" i="17"/>
  <c r="AG39" i="17"/>
  <c r="AF39" i="17"/>
  <c r="AE39" i="17"/>
  <c r="AD39" i="17"/>
  <c r="AC39" i="17"/>
  <c r="AB39" i="17"/>
  <c r="AA39" i="17"/>
  <c r="Z39" i="17"/>
  <c r="Y39" i="17"/>
  <c r="X39" i="17"/>
  <c r="W39" i="17"/>
  <c r="V39" i="17"/>
  <c r="U39" i="17"/>
  <c r="T39" i="17"/>
  <c r="S39" i="17"/>
  <c r="R39" i="17"/>
  <c r="Q39" i="17"/>
  <c r="P39" i="17"/>
  <c r="O39" i="17"/>
  <c r="N39" i="17"/>
  <c r="M39" i="17"/>
  <c r="L39" i="17"/>
  <c r="K39" i="17"/>
  <c r="J39" i="17"/>
  <c r="I39" i="17"/>
  <c r="H39" i="17"/>
  <c r="G40" i="17"/>
  <c r="G39" i="17"/>
  <c r="G41" i="17" l="1"/>
  <c r="AJ38" i="17"/>
  <c r="AI38" i="17"/>
  <c r="W48" i="3"/>
  <c r="W47" i="3"/>
  <c r="W49" i="3" s="1"/>
  <c r="W45" i="3"/>
  <c r="W46" i="3" s="1"/>
  <c r="W44" i="3"/>
  <c r="W42" i="3"/>
  <c r="W43" i="3" s="1"/>
  <c r="W41" i="3"/>
  <c r="W39" i="3"/>
  <c r="W40" i="3" s="1"/>
  <c r="W38" i="3"/>
  <c r="W36" i="3"/>
  <c r="W37" i="3" s="1"/>
  <c r="W35" i="3"/>
  <c r="W33" i="3"/>
  <c r="W34" i="3" s="1"/>
  <c r="W32" i="3"/>
  <c r="V48" i="3"/>
  <c r="V49" i="3" s="1"/>
  <c r="V47" i="3"/>
  <c r="V45" i="3"/>
  <c r="V46" i="3" s="1"/>
  <c r="V44" i="3"/>
  <c r="V42" i="3"/>
  <c r="V43" i="3" s="1"/>
  <c r="V41" i="3"/>
  <c r="V39" i="3"/>
  <c r="V40" i="3" s="1"/>
  <c r="V38" i="3"/>
  <c r="V36" i="3"/>
  <c r="V37" i="3" s="1"/>
  <c r="V35" i="3"/>
  <c r="V34" i="3"/>
  <c r="V33" i="3"/>
  <c r="V32" i="3"/>
  <c r="U48" i="3"/>
  <c r="U49" i="3" s="1"/>
  <c r="U47" i="3"/>
  <c r="U45" i="3"/>
  <c r="U46" i="3" s="1"/>
  <c r="U44" i="3"/>
  <c r="U42" i="3"/>
  <c r="U43" i="3" s="1"/>
  <c r="U41" i="3"/>
  <c r="U40" i="3"/>
  <c r="U39" i="3"/>
  <c r="U38" i="3"/>
  <c r="U37" i="3"/>
  <c r="U36" i="3"/>
  <c r="U35" i="3"/>
  <c r="U33" i="3"/>
  <c r="U34" i="3" s="1"/>
  <c r="U32" i="3"/>
  <c r="T49" i="3"/>
  <c r="T48" i="3"/>
  <c r="T47" i="3"/>
  <c r="T45" i="3"/>
  <c r="T46" i="3" s="1"/>
  <c r="T44" i="3"/>
  <c r="T42" i="3"/>
  <c r="T43" i="3" s="1"/>
  <c r="T41" i="3"/>
  <c r="T39" i="3"/>
  <c r="T40" i="3" s="1"/>
  <c r="T38" i="3"/>
  <c r="T36" i="3"/>
  <c r="T37" i="3" s="1"/>
  <c r="T35" i="3"/>
  <c r="T33" i="3"/>
  <c r="T34" i="3" s="1"/>
  <c r="T32" i="3"/>
  <c r="S48" i="3"/>
  <c r="S47" i="3"/>
  <c r="S49" i="3" s="1"/>
  <c r="S45" i="3"/>
  <c r="S46" i="3" s="1"/>
  <c r="S44" i="3"/>
  <c r="S42" i="3"/>
  <c r="S43" i="3" s="1"/>
  <c r="S41" i="3"/>
  <c r="S39" i="3"/>
  <c r="S40" i="3" s="1"/>
  <c r="S38" i="3"/>
  <c r="S36" i="3"/>
  <c r="S37" i="3" s="1"/>
  <c r="S35" i="3"/>
  <c r="S34" i="3"/>
  <c r="S33" i="3"/>
  <c r="S32" i="3"/>
  <c r="R48" i="3"/>
  <c r="R49" i="3" s="1"/>
  <c r="R47" i="3"/>
  <c r="R45" i="3"/>
  <c r="R46" i="3" s="1"/>
  <c r="R44" i="3"/>
  <c r="R42" i="3"/>
  <c r="R43" i="3" s="1"/>
  <c r="R41" i="3"/>
  <c r="R39" i="3"/>
  <c r="R40" i="3" s="1"/>
  <c r="R38" i="3"/>
  <c r="R36" i="3"/>
  <c r="R37" i="3" s="1"/>
  <c r="R35" i="3"/>
  <c r="R34" i="3"/>
  <c r="R33" i="3"/>
  <c r="R32" i="3"/>
  <c r="Q48" i="3"/>
  <c r="Q49" i="3" s="1"/>
  <c r="Q47" i="3"/>
  <c r="Q45" i="3"/>
  <c r="Q46" i="3" s="1"/>
  <c r="Q44" i="3"/>
  <c r="Q42" i="3"/>
  <c r="Q43" i="3" s="1"/>
  <c r="Q41" i="3"/>
  <c r="Q39" i="3"/>
  <c r="Q40" i="3" s="1"/>
  <c r="Q38" i="3"/>
  <c r="Q36" i="3"/>
  <c r="Q37" i="3" s="1"/>
  <c r="Q35" i="3"/>
  <c r="Q34" i="3"/>
  <c r="Q33" i="3"/>
  <c r="Q32" i="3"/>
  <c r="P48" i="3"/>
  <c r="P49" i="3" s="1"/>
  <c r="P47" i="3"/>
  <c r="P45" i="3"/>
  <c r="P46" i="3" s="1"/>
  <c r="P44" i="3"/>
  <c r="P42" i="3"/>
  <c r="P43" i="3" s="1"/>
  <c r="P41" i="3"/>
  <c r="P39" i="3"/>
  <c r="P40" i="3" s="1"/>
  <c r="P38" i="3"/>
  <c r="P36" i="3"/>
  <c r="P37" i="3" s="1"/>
  <c r="P35" i="3"/>
  <c r="P34" i="3"/>
  <c r="P33" i="3"/>
  <c r="P32" i="3"/>
  <c r="O48" i="3"/>
  <c r="O49" i="3" s="1"/>
  <c r="O47" i="3"/>
  <c r="O45" i="3"/>
  <c r="O46" i="3" s="1"/>
  <c r="O44" i="3"/>
  <c r="O42" i="3"/>
  <c r="O43" i="3" s="1"/>
  <c r="O41" i="3"/>
  <c r="O39" i="3"/>
  <c r="O40" i="3" s="1"/>
  <c r="O38" i="3"/>
  <c r="O36" i="3"/>
  <c r="O37" i="3" s="1"/>
  <c r="O35" i="3"/>
  <c r="O34" i="3"/>
  <c r="O33" i="3"/>
  <c r="O32" i="3"/>
  <c r="N48" i="3"/>
  <c r="N49" i="3" s="1"/>
  <c r="N47" i="3"/>
  <c r="N45" i="3"/>
  <c r="N46" i="3" s="1"/>
  <c r="N44" i="3"/>
  <c r="N43" i="3"/>
  <c r="N42" i="3"/>
  <c r="N41" i="3"/>
  <c r="N39" i="3"/>
  <c r="N40" i="3" s="1"/>
  <c r="N38" i="3"/>
  <c r="N36" i="3"/>
  <c r="N37" i="3" s="1"/>
  <c r="N35" i="3"/>
  <c r="N34" i="3"/>
  <c r="N33" i="3"/>
  <c r="N32" i="3"/>
  <c r="M48" i="3"/>
  <c r="M49" i="3" s="1"/>
  <c r="M47" i="3"/>
  <c r="M45" i="3"/>
  <c r="M46" i="3" s="1"/>
  <c r="M44" i="3"/>
  <c r="M42" i="3"/>
  <c r="M43" i="3" s="1"/>
  <c r="M41" i="3"/>
  <c r="M40" i="3"/>
  <c r="M39" i="3"/>
  <c r="M38" i="3"/>
  <c r="M36" i="3"/>
  <c r="M37" i="3" s="1"/>
  <c r="M35" i="3"/>
  <c r="M34" i="3"/>
  <c r="M33" i="3"/>
  <c r="M32" i="3"/>
  <c r="L49" i="3"/>
  <c r="L48" i="3"/>
  <c r="L47" i="3"/>
  <c r="L45" i="3"/>
  <c r="L46" i="3" s="1"/>
  <c r="L44" i="3"/>
  <c r="L42" i="3"/>
  <c r="L43" i="3" s="1"/>
  <c r="L41" i="3"/>
  <c r="L39" i="3"/>
  <c r="L40" i="3" s="1"/>
  <c r="L38" i="3"/>
  <c r="L36" i="3"/>
  <c r="L37" i="3" s="1"/>
  <c r="L35" i="3"/>
  <c r="L33" i="3"/>
  <c r="L34" i="3" s="1"/>
  <c r="L32" i="3"/>
  <c r="K48" i="3"/>
  <c r="K49" i="3" s="1"/>
  <c r="K47" i="3"/>
  <c r="K45" i="3"/>
  <c r="K46" i="3" s="1"/>
  <c r="K44" i="3"/>
  <c r="K42" i="3"/>
  <c r="K43" i="3" s="1"/>
  <c r="K41" i="3"/>
  <c r="K40" i="3"/>
  <c r="K39" i="3"/>
  <c r="K38" i="3"/>
  <c r="K36" i="3"/>
  <c r="K37" i="3" s="1"/>
  <c r="K35" i="3"/>
  <c r="K33" i="3"/>
  <c r="K34" i="3" s="1"/>
  <c r="K32" i="3"/>
  <c r="J48" i="3"/>
  <c r="J49" i="3" s="1"/>
  <c r="J47" i="3"/>
  <c r="J45" i="3"/>
  <c r="J46" i="3" s="1"/>
  <c r="J44" i="3"/>
  <c r="J42" i="3"/>
  <c r="J43" i="3" s="1"/>
  <c r="J41" i="3"/>
  <c r="J39" i="3"/>
  <c r="J40" i="3" s="1"/>
  <c r="J38" i="3"/>
  <c r="J36" i="3"/>
  <c r="J37" i="3" s="1"/>
  <c r="J35" i="3"/>
  <c r="J34" i="3"/>
  <c r="J33" i="3"/>
  <c r="J32" i="3"/>
  <c r="I48" i="3"/>
  <c r="I49" i="3" s="1"/>
  <c r="I47" i="3"/>
  <c r="I45" i="3"/>
  <c r="I46" i="3" s="1"/>
  <c r="I44" i="3"/>
  <c r="I42" i="3"/>
  <c r="I43" i="3" s="1"/>
  <c r="I41" i="3"/>
  <c r="I39" i="3"/>
  <c r="I40" i="3" s="1"/>
  <c r="I38" i="3"/>
  <c r="I36" i="3"/>
  <c r="I37" i="3" s="1"/>
  <c r="I35" i="3"/>
  <c r="I34" i="3"/>
  <c r="I33" i="3"/>
  <c r="I32" i="3"/>
  <c r="H48" i="3"/>
  <c r="H49" i="3" s="1"/>
  <c r="H47" i="3"/>
  <c r="H45" i="3"/>
  <c r="H46" i="3" s="1"/>
  <c r="H44" i="3"/>
  <c r="H42" i="3"/>
  <c r="H43" i="3" s="1"/>
  <c r="H41" i="3"/>
  <c r="H39" i="3"/>
  <c r="H40" i="3" s="1"/>
  <c r="H38" i="3"/>
  <c r="H36" i="3"/>
  <c r="H37" i="3" s="1"/>
  <c r="H35" i="3"/>
  <c r="H34" i="3"/>
  <c r="H33" i="3"/>
  <c r="H32" i="3"/>
  <c r="G45" i="3"/>
  <c r="G33" i="3"/>
  <c r="CE64" i="5"/>
  <c r="AS64" i="5"/>
  <c r="AK64" i="5"/>
  <c r="AS63" i="5"/>
  <c r="AK63" i="5"/>
  <c r="AS62" i="5"/>
  <c r="AK62" i="5"/>
  <c r="AS61" i="5"/>
  <c r="AK61" i="5"/>
  <c r="AS60" i="5"/>
  <c r="AK60" i="5"/>
  <c r="AS59" i="5"/>
  <c r="AK59" i="5"/>
  <c r="J44" i="5"/>
  <c r="J55" i="5" s="1"/>
  <c r="CH48" i="5"/>
  <c r="CH64" i="5" s="1"/>
  <c r="CG48" i="5"/>
  <c r="CG64" i="5" s="1"/>
  <c r="CF48" i="5"/>
  <c r="CF64" i="5" s="1"/>
  <c r="CE48" i="5"/>
  <c r="CD48" i="5"/>
  <c r="CD64" i="5" s="1"/>
  <c r="CC48" i="5"/>
  <c r="CB48" i="5"/>
  <c r="CA48" i="5"/>
  <c r="BZ48" i="5"/>
  <c r="BZ64" i="5" s="1"/>
  <c r="BY48" i="5"/>
  <c r="BY64" i="5" s="1"/>
  <c r="BX48" i="5"/>
  <c r="BX64" i="5" s="1"/>
  <c r="BW48" i="5"/>
  <c r="BW64" i="5" s="1"/>
  <c r="BV48" i="5"/>
  <c r="BV64" i="5" s="1"/>
  <c r="BU48" i="5"/>
  <c r="BT48" i="5"/>
  <c r="BS48" i="5"/>
  <c r="BR48" i="5"/>
  <c r="BR64" i="5" s="1"/>
  <c r="BQ48" i="5"/>
  <c r="BQ64" i="5" s="1"/>
  <c r="BP48" i="5"/>
  <c r="BP64" i="5" s="1"/>
  <c r="BO48" i="5"/>
  <c r="BO64" i="5" s="1"/>
  <c r="BN48" i="5"/>
  <c r="BM48" i="5"/>
  <c r="BL48" i="5"/>
  <c r="BK48" i="5"/>
  <c r="BJ48" i="5"/>
  <c r="BJ64" i="5" s="1"/>
  <c r="BI48" i="5"/>
  <c r="BI64" i="5" s="1"/>
  <c r="BH48" i="5"/>
  <c r="BH64" i="5" s="1"/>
  <c r="BG48" i="5"/>
  <c r="BG64" i="5" s="1"/>
  <c r="BF48" i="5"/>
  <c r="BE48" i="5"/>
  <c r="BD48" i="5"/>
  <c r="BC48" i="5"/>
  <c r="BB48" i="5"/>
  <c r="BB64" i="5" s="1"/>
  <c r="BA48" i="5"/>
  <c r="BA64" i="5" s="1"/>
  <c r="AZ48" i="5"/>
  <c r="AZ64" i="5" s="1"/>
  <c r="AY48" i="5"/>
  <c r="AY64" i="5" s="1"/>
  <c r="AR48" i="5"/>
  <c r="AQ48" i="5"/>
  <c r="AP48" i="5"/>
  <c r="AP64" i="5" s="1"/>
  <c r="AO48" i="5"/>
  <c r="AN48" i="5"/>
  <c r="AM48" i="5"/>
  <c r="AJ48" i="5"/>
  <c r="AI48" i="5"/>
  <c r="AH48" i="5"/>
  <c r="AH64" i="5" s="1"/>
  <c r="AG48" i="5"/>
  <c r="AF48" i="5"/>
  <c r="AC48" i="5"/>
  <c r="AB48" i="5"/>
  <c r="AB64" i="5" s="1"/>
  <c r="AA48" i="5"/>
  <c r="Z48" i="5"/>
  <c r="Z64" i="5" s="1"/>
  <c r="Y48" i="5"/>
  <c r="X48" i="5"/>
  <c r="W48" i="5"/>
  <c r="V48" i="5"/>
  <c r="U48" i="5"/>
  <c r="U64" i="5" s="1"/>
  <c r="T48" i="5"/>
  <c r="S48" i="5"/>
  <c r="R48" i="5"/>
  <c r="Q48" i="5"/>
  <c r="P48" i="5"/>
  <c r="O48" i="5"/>
  <c r="O64" i="5" s="1"/>
  <c r="N48" i="5"/>
  <c r="M48" i="5"/>
  <c r="M64" i="5" s="1"/>
  <c r="L48" i="5"/>
  <c r="K48" i="5"/>
  <c r="J48" i="5"/>
  <c r="I48" i="5"/>
  <c r="H48" i="5"/>
  <c r="CH47" i="5"/>
  <c r="CH56" i="5" s="1"/>
  <c r="CG47" i="5"/>
  <c r="CG56" i="5" s="1"/>
  <c r="CF47" i="5"/>
  <c r="CF56" i="5" s="1"/>
  <c r="CE47" i="5"/>
  <c r="CE56" i="5" s="1"/>
  <c r="CD47" i="5"/>
  <c r="CD56" i="5" s="1"/>
  <c r="CC47" i="5"/>
  <c r="CC56" i="5" s="1"/>
  <c r="CB47" i="5"/>
  <c r="CB56" i="5" s="1"/>
  <c r="CA47" i="5"/>
  <c r="CA56" i="5" s="1"/>
  <c r="BZ47" i="5"/>
  <c r="BZ56" i="5" s="1"/>
  <c r="BY47" i="5"/>
  <c r="BY56" i="5" s="1"/>
  <c r="BX47" i="5"/>
  <c r="BX56" i="5" s="1"/>
  <c r="BW47" i="5"/>
  <c r="BW56" i="5" s="1"/>
  <c r="BV47" i="5"/>
  <c r="BV56" i="5" s="1"/>
  <c r="BU47" i="5"/>
  <c r="BU56" i="5" s="1"/>
  <c r="BT47" i="5"/>
  <c r="BT56" i="5" s="1"/>
  <c r="BS47" i="5"/>
  <c r="BS56" i="5" s="1"/>
  <c r="BR47" i="5"/>
  <c r="BR56" i="5" s="1"/>
  <c r="BQ47" i="5"/>
  <c r="BQ56" i="5" s="1"/>
  <c r="BP47" i="5"/>
  <c r="BP56" i="5" s="1"/>
  <c r="BO47" i="5"/>
  <c r="BO56" i="5" s="1"/>
  <c r="BN47" i="5"/>
  <c r="BN56" i="5" s="1"/>
  <c r="BM47" i="5"/>
  <c r="BM56" i="5" s="1"/>
  <c r="BL47" i="5"/>
  <c r="BL56" i="5" s="1"/>
  <c r="BK47" i="5"/>
  <c r="BK56" i="5" s="1"/>
  <c r="BJ47" i="5"/>
  <c r="BJ56" i="5" s="1"/>
  <c r="BI47" i="5"/>
  <c r="BI56" i="5" s="1"/>
  <c r="BH47" i="5"/>
  <c r="BH56" i="5" s="1"/>
  <c r="BG47" i="5"/>
  <c r="BG56" i="5" s="1"/>
  <c r="BF47" i="5"/>
  <c r="BF56" i="5" s="1"/>
  <c r="BE47" i="5"/>
  <c r="BE56" i="5" s="1"/>
  <c r="BD47" i="5"/>
  <c r="BD56" i="5" s="1"/>
  <c r="BC47" i="5"/>
  <c r="BC56" i="5" s="1"/>
  <c r="BB47" i="5"/>
  <c r="BB56" i="5" s="1"/>
  <c r="BA47" i="5"/>
  <c r="BA56" i="5" s="1"/>
  <c r="AZ47" i="5"/>
  <c r="AZ56" i="5" s="1"/>
  <c r="AY47" i="5"/>
  <c r="AY56" i="5" s="1"/>
  <c r="AR47" i="5"/>
  <c r="AR56" i="5" s="1"/>
  <c r="AQ47" i="5"/>
  <c r="AQ56" i="5" s="1"/>
  <c r="AP47" i="5"/>
  <c r="AP56" i="5" s="1"/>
  <c r="AO47" i="5"/>
  <c r="AO56" i="5" s="1"/>
  <c r="AN47" i="5"/>
  <c r="AN56" i="5" s="1"/>
  <c r="AM47" i="5"/>
  <c r="AM56" i="5" s="1"/>
  <c r="AJ47" i="5"/>
  <c r="AJ56" i="5" s="1"/>
  <c r="AI47" i="5"/>
  <c r="AI56" i="5" s="1"/>
  <c r="AH47" i="5"/>
  <c r="AH56" i="5" s="1"/>
  <c r="AG47" i="5"/>
  <c r="AG56" i="5" s="1"/>
  <c r="AF47" i="5"/>
  <c r="AF56" i="5" s="1"/>
  <c r="AC47" i="5"/>
  <c r="AC56" i="5" s="1"/>
  <c r="AB47" i="5"/>
  <c r="AB56" i="5" s="1"/>
  <c r="AA47" i="5"/>
  <c r="AA56" i="5" s="1"/>
  <c r="Z47" i="5"/>
  <c r="Z56" i="5" s="1"/>
  <c r="Y47" i="5"/>
  <c r="Y56" i="5" s="1"/>
  <c r="X47" i="5"/>
  <c r="X56" i="5" s="1"/>
  <c r="W47" i="5"/>
  <c r="W56" i="5" s="1"/>
  <c r="V47" i="5"/>
  <c r="V56" i="5" s="1"/>
  <c r="U47" i="5"/>
  <c r="U56" i="5" s="1"/>
  <c r="T47" i="5"/>
  <c r="T56" i="5" s="1"/>
  <c r="S47" i="5"/>
  <c r="S56" i="5" s="1"/>
  <c r="R47" i="5"/>
  <c r="R56" i="5" s="1"/>
  <c r="Q47" i="5"/>
  <c r="Q56" i="5" s="1"/>
  <c r="P47" i="5"/>
  <c r="P56" i="5" s="1"/>
  <c r="O47" i="5"/>
  <c r="O56" i="5" s="1"/>
  <c r="N47" i="5"/>
  <c r="N56" i="5" s="1"/>
  <c r="M47" i="5"/>
  <c r="M56" i="5" s="1"/>
  <c r="L47" i="5"/>
  <c r="L56" i="5" s="1"/>
  <c r="K47" i="5"/>
  <c r="K56" i="5" s="1"/>
  <c r="J47" i="5"/>
  <c r="J56" i="5" s="1"/>
  <c r="I47" i="5"/>
  <c r="I56" i="5" s="1"/>
  <c r="H47" i="5"/>
  <c r="H56" i="5" s="1"/>
  <c r="CH45" i="5"/>
  <c r="CH63" i="5" s="1"/>
  <c r="CG45" i="5"/>
  <c r="CF45" i="5"/>
  <c r="CE45" i="5"/>
  <c r="CD45" i="5"/>
  <c r="CC45" i="5"/>
  <c r="CC63" i="5" s="1"/>
  <c r="CB45" i="5"/>
  <c r="CA45" i="5"/>
  <c r="BZ45" i="5"/>
  <c r="BZ63" i="5" s="1"/>
  <c r="BY45" i="5"/>
  <c r="BX45" i="5"/>
  <c r="BW45" i="5"/>
  <c r="BV45" i="5"/>
  <c r="BU45" i="5"/>
  <c r="BU63" i="5" s="1"/>
  <c r="BT45" i="5"/>
  <c r="BS45" i="5"/>
  <c r="BR45" i="5"/>
  <c r="BQ45" i="5"/>
  <c r="BP45" i="5"/>
  <c r="BO45" i="5"/>
  <c r="BN45" i="5"/>
  <c r="BM45" i="5"/>
  <c r="BM63" i="5" s="1"/>
  <c r="BL45" i="5"/>
  <c r="BK45" i="5"/>
  <c r="BJ45" i="5"/>
  <c r="BJ63" i="5" s="1"/>
  <c r="BI45" i="5"/>
  <c r="BH45" i="5"/>
  <c r="BG45" i="5"/>
  <c r="BF45" i="5"/>
  <c r="BE45" i="5"/>
  <c r="BE63" i="5" s="1"/>
  <c r="BD45" i="5"/>
  <c r="BC45" i="5"/>
  <c r="BB45" i="5"/>
  <c r="BB63" i="5" s="1"/>
  <c r="BA45" i="5"/>
  <c r="AZ45" i="5"/>
  <c r="AY45" i="5"/>
  <c r="AR45" i="5"/>
  <c r="AQ45" i="5"/>
  <c r="AP45" i="5"/>
  <c r="AO45" i="5"/>
  <c r="AO63" i="5" s="1"/>
  <c r="AN45" i="5"/>
  <c r="AM45" i="5"/>
  <c r="AJ45" i="5"/>
  <c r="AI45" i="5"/>
  <c r="AH45" i="5"/>
  <c r="AG45" i="5"/>
  <c r="AG63" i="5" s="1"/>
  <c r="AF45" i="5"/>
  <c r="AC45" i="5"/>
  <c r="AB45" i="5"/>
  <c r="AA45" i="5"/>
  <c r="Z45" i="5"/>
  <c r="Y45" i="5"/>
  <c r="Y63" i="5" s="1"/>
  <c r="X45" i="5"/>
  <c r="W45" i="5"/>
  <c r="V45" i="5"/>
  <c r="U45" i="5"/>
  <c r="T45" i="5"/>
  <c r="T63" i="5" s="1"/>
  <c r="S45" i="5"/>
  <c r="R45" i="5"/>
  <c r="R63" i="5" s="1"/>
  <c r="Q45" i="5"/>
  <c r="Q63" i="5" s="1"/>
  <c r="P45" i="5"/>
  <c r="O45" i="5"/>
  <c r="N45" i="5"/>
  <c r="M45" i="5"/>
  <c r="L45" i="5"/>
  <c r="L63" i="5" s="1"/>
  <c r="K45" i="5"/>
  <c r="J45" i="5"/>
  <c r="I45" i="5"/>
  <c r="I63" i="5" s="1"/>
  <c r="H45" i="5"/>
  <c r="CH44" i="5"/>
  <c r="CH55" i="5" s="1"/>
  <c r="CG44" i="5"/>
  <c r="CG55" i="5" s="1"/>
  <c r="CF44" i="5"/>
  <c r="CF55" i="5" s="1"/>
  <c r="CE44" i="5"/>
  <c r="CE55" i="5" s="1"/>
  <c r="CD44" i="5"/>
  <c r="CD55" i="5" s="1"/>
  <c r="CC44" i="5"/>
  <c r="CC55" i="5" s="1"/>
  <c r="CB44" i="5"/>
  <c r="CB55" i="5" s="1"/>
  <c r="CA44" i="5"/>
  <c r="CA55" i="5" s="1"/>
  <c r="BZ44" i="5"/>
  <c r="BZ55" i="5" s="1"/>
  <c r="BY44" i="5"/>
  <c r="BY55" i="5" s="1"/>
  <c r="BX44" i="5"/>
  <c r="BX55" i="5" s="1"/>
  <c r="BW44" i="5"/>
  <c r="BW55" i="5" s="1"/>
  <c r="BV44" i="5"/>
  <c r="BV55" i="5" s="1"/>
  <c r="BU44" i="5"/>
  <c r="BU55" i="5" s="1"/>
  <c r="BT44" i="5"/>
  <c r="BT55" i="5" s="1"/>
  <c r="BS44" i="5"/>
  <c r="BS55" i="5" s="1"/>
  <c r="BR44" i="5"/>
  <c r="BR55" i="5" s="1"/>
  <c r="BQ44" i="5"/>
  <c r="BQ55" i="5" s="1"/>
  <c r="BP44" i="5"/>
  <c r="BP55" i="5" s="1"/>
  <c r="BO44" i="5"/>
  <c r="BO55" i="5" s="1"/>
  <c r="BN44" i="5"/>
  <c r="BN55" i="5" s="1"/>
  <c r="BM44" i="5"/>
  <c r="BM55" i="5" s="1"/>
  <c r="BL44" i="5"/>
  <c r="BL55" i="5" s="1"/>
  <c r="BK44" i="5"/>
  <c r="BK55" i="5" s="1"/>
  <c r="BJ44" i="5"/>
  <c r="BJ55" i="5" s="1"/>
  <c r="BI44" i="5"/>
  <c r="BI55" i="5" s="1"/>
  <c r="BH44" i="5"/>
  <c r="BH55" i="5" s="1"/>
  <c r="BG44" i="5"/>
  <c r="BG55" i="5" s="1"/>
  <c r="BF44" i="5"/>
  <c r="BF55" i="5" s="1"/>
  <c r="BE44" i="5"/>
  <c r="BE55" i="5" s="1"/>
  <c r="BD44" i="5"/>
  <c r="BD55" i="5" s="1"/>
  <c r="BC44" i="5"/>
  <c r="BC55" i="5" s="1"/>
  <c r="BB44" i="5"/>
  <c r="BB55" i="5" s="1"/>
  <c r="BA44" i="5"/>
  <c r="BA55" i="5" s="1"/>
  <c r="AZ44" i="5"/>
  <c r="AZ55" i="5" s="1"/>
  <c r="AY44" i="5"/>
  <c r="AY55" i="5" s="1"/>
  <c r="AR44" i="5"/>
  <c r="AR55" i="5" s="1"/>
  <c r="AQ44" i="5"/>
  <c r="AQ55" i="5" s="1"/>
  <c r="AP44" i="5"/>
  <c r="AP55" i="5" s="1"/>
  <c r="AO44" i="5"/>
  <c r="AO55" i="5" s="1"/>
  <c r="AN44" i="5"/>
  <c r="AN55" i="5" s="1"/>
  <c r="AM44" i="5"/>
  <c r="AM55" i="5" s="1"/>
  <c r="AJ44" i="5"/>
  <c r="AJ55" i="5" s="1"/>
  <c r="AI44" i="5"/>
  <c r="AI55" i="5" s="1"/>
  <c r="AH44" i="5"/>
  <c r="AH55" i="5" s="1"/>
  <c r="AG44" i="5"/>
  <c r="AG55" i="5" s="1"/>
  <c r="AF44" i="5"/>
  <c r="AF55" i="5" s="1"/>
  <c r="AC44" i="5"/>
  <c r="AC55" i="5" s="1"/>
  <c r="AB44" i="5"/>
  <c r="AB55" i="5" s="1"/>
  <c r="AA44" i="5"/>
  <c r="AA55" i="5" s="1"/>
  <c r="Z44" i="5"/>
  <c r="Z55" i="5" s="1"/>
  <c r="Y44" i="5"/>
  <c r="Y55" i="5" s="1"/>
  <c r="X44" i="5"/>
  <c r="X55" i="5" s="1"/>
  <c r="W44" i="5"/>
  <c r="W55" i="5" s="1"/>
  <c r="V44" i="5"/>
  <c r="V55" i="5" s="1"/>
  <c r="U44" i="5"/>
  <c r="U55" i="5" s="1"/>
  <c r="T44" i="5"/>
  <c r="T55" i="5" s="1"/>
  <c r="S44" i="5"/>
  <c r="S55" i="5" s="1"/>
  <c r="R44" i="5"/>
  <c r="R55" i="5" s="1"/>
  <c r="Q44" i="5"/>
  <c r="Q55" i="5" s="1"/>
  <c r="P44" i="5"/>
  <c r="P55" i="5" s="1"/>
  <c r="O44" i="5"/>
  <c r="O55" i="5" s="1"/>
  <c r="N44" i="5"/>
  <c r="N55" i="5" s="1"/>
  <c r="M44" i="5"/>
  <c r="M55" i="5" s="1"/>
  <c r="L44" i="5"/>
  <c r="L55" i="5" s="1"/>
  <c r="K44" i="5"/>
  <c r="K55" i="5" s="1"/>
  <c r="I44" i="5"/>
  <c r="I55" i="5" s="1"/>
  <c r="H44" i="5"/>
  <c r="H55" i="5" s="1"/>
  <c r="CH42" i="5"/>
  <c r="CG42" i="5"/>
  <c r="CF42" i="5"/>
  <c r="CE42" i="5"/>
  <c r="CD42" i="5"/>
  <c r="CC42" i="5"/>
  <c r="CB42" i="5"/>
  <c r="CB62" i="5" s="1"/>
  <c r="CA42" i="5"/>
  <c r="BZ42" i="5"/>
  <c r="BY42" i="5"/>
  <c r="BX42" i="5"/>
  <c r="BW42" i="5"/>
  <c r="BV42" i="5"/>
  <c r="BU42" i="5"/>
  <c r="BT42" i="5"/>
  <c r="BT62" i="5" s="1"/>
  <c r="BS42" i="5"/>
  <c r="BR42" i="5"/>
  <c r="BQ42" i="5"/>
  <c r="BP42" i="5"/>
  <c r="BO42" i="5"/>
  <c r="BN42" i="5"/>
  <c r="BM42" i="5"/>
  <c r="BM62" i="5" s="1"/>
  <c r="BL42" i="5"/>
  <c r="BL62" i="5" s="1"/>
  <c r="BK42" i="5"/>
  <c r="BJ42" i="5"/>
  <c r="BI42" i="5"/>
  <c r="BH42" i="5"/>
  <c r="BG42" i="5"/>
  <c r="BF42" i="5"/>
  <c r="BE42" i="5"/>
  <c r="BD42" i="5"/>
  <c r="BD62" i="5" s="1"/>
  <c r="BC42" i="5"/>
  <c r="BB42" i="5"/>
  <c r="BA42" i="5"/>
  <c r="AZ42" i="5"/>
  <c r="AY42" i="5"/>
  <c r="AR42" i="5"/>
  <c r="AQ42" i="5"/>
  <c r="AP42" i="5"/>
  <c r="AO42" i="5"/>
  <c r="AO62" i="5" s="1"/>
  <c r="AN42" i="5"/>
  <c r="AN62" i="5" s="1"/>
  <c r="AM42" i="5"/>
  <c r="AM62" i="5" s="1"/>
  <c r="AJ42" i="5"/>
  <c r="AI42" i="5"/>
  <c r="AH42" i="5"/>
  <c r="AG42" i="5"/>
  <c r="AF42" i="5"/>
  <c r="AF62" i="5" s="1"/>
  <c r="AC42" i="5"/>
  <c r="AB42" i="5"/>
  <c r="AA42" i="5"/>
  <c r="Z42" i="5"/>
  <c r="Y42" i="5"/>
  <c r="X42" i="5"/>
  <c r="X62" i="5" s="1"/>
  <c r="W42" i="5"/>
  <c r="V42" i="5"/>
  <c r="U42" i="5"/>
  <c r="T42" i="5"/>
  <c r="S42" i="5"/>
  <c r="S62" i="5" s="1"/>
  <c r="R42" i="5"/>
  <c r="Q42" i="5"/>
  <c r="Q62" i="5" s="1"/>
  <c r="P42" i="5"/>
  <c r="O42" i="5"/>
  <c r="N42" i="5"/>
  <c r="M42" i="5"/>
  <c r="L42" i="5"/>
  <c r="K42" i="5"/>
  <c r="K62" i="5" s="1"/>
  <c r="J42" i="5"/>
  <c r="I42" i="5"/>
  <c r="H42" i="5"/>
  <c r="CH41" i="5"/>
  <c r="CH54" i="5" s="1"/>
  <c r="CG41" i="5"/>
  <c r="CG54" i="5" s="1"/>
  <c r="CF41" i="5"/>
  <c r="CF54" i="5" s="1"/>
  <c r="CE41" i="5"/>
  <c r="CE54" i="5" s="1"/>
  <c r="CD41" i="5"/>
  <c r="CD54" i="5" s="1"/>
  <c r="CC41" i="5"/>
  <c r="CC54" i="5" s="1"/>
  <c r="CB41" i="5"/>
  <c r="CB54" i="5" s="1"/>
  <c r="CA41" i="5"/>
  <c r="CA54" i="5" s="1"/>
  <c r="BZ41" i="5"/>
  <c r="BZ54" i="5" s="1"/>
  <c r="BY41" i="5"/>
  <c r="BY54" i="5" s="1"/>
  <c r="BX41" i="5"/>
  <c r="BX54" i="5" s="1"/>
  <c r="BW41" i="5"/>
  <c r="BW54" i="5" s="1"/>
  <c r="BV41" i="5"/>
  <c r="BV54" i="5" s="1"/>
  <c r="BU41" i="5"/>
  <c r="BU54" i="5" s="1"/>
  <c r="BT41" i="5"/>
  <c r="BT54" i="5" s="1"/>
  <c r="BS41" i="5"/>
  <c r="BS54" i="5" s="1"/>
  <c r="BR41" i="5"/>
  <c r="BR54" i="5" s="1"/>
  <c r="BQ41" i="5"/>
  <c r="BQ54" i="5" s="1"/>
  <c r="BP41" i="5"/>
  <c r="BP54" i="5" s="1"/>
  <c r="BO41" i="5"/>
  <c r="BO54" i="5" s="1"/>
  <c r="BN41" i="5"/>
  <c r="BN54" i="5" s="1"/>
  <c r="BM41" i="5"/>
  <c r="BM54" i="5" s="1"/>
  <c r="BL41" i="5"/>
  <c r="BL54" i="5" s="1"/>
  <c r="BK41" i="5"/>
  <c r="BK54" i="5" s="1"/>
  <c r="BJ41" i="5"/>
  <c r="BJ54" i="5" s="1"/>
  <c r="BI41" i="5"/>
  <c r="BI54" i="5" s="1"/>
  <c r="BH41" i="5"/>
  <c r="BH54" i="5" s="1"/>
  <c r="BG41" i="5"/>
  <c r="BG54" i="5" s="1"/>
  <c r="BF41" i="5"/>
  <c r="BF54" i="5" s="1"/>
  <c r="BE41" i="5"/>
  <c r="BE54" i="5" s="1"/>
  <c r="BD41" i="5"/>
  <c r="BD54" i="5" s="1"/>
  <c r="BC41" i="5"/>
  <c r="BC54" i="5" s="1"/>
  <c r="BB41" i="5"/>
  <c r="BB54" i="5" s="1"/>
  <c r="BA41" i="5"/>
  <c r="BA54" i="5" s="1"/>
  <c r="AZ41" i="5"/>
  <c r="AZ54" i="5" s="1"/>
  <c r="AY41" i="5"/>
  <c r="AY54" i="5" s="1"/>
  <c r="AR41" i="5"/>
  <c r="AR54" i="5" s="1"/>
  <c r="AQ41" i="5"/>
  <c r="AQ54" i="5" s="1"/>
  <c r="AP41" i="5"/>
  <c r="AP54" i="5" s="1"/>
  <c r="AO41" i="5"/>
  <c r="AO54" i="5" s="1"/>
  <c r="AN41" i="5"/>
  <c r="AN54" i="5" s="1"/>
  <c r="AM41" i="5"/>
  <c r="AM54" i="5" s="1"/>
  <c r="AJ41" i="5"/>
  <c r="AJ54" i="5" s="1"/>
  <c r="AI41" i="5"/>
  <c r="AI54" i="5" s="1"/>
  <c r="AH41" i="5"/>
  <c r="AH54" i="5" s="1"/>
  <c r="AG41" i="5"/>
  <c r="AG54" i="5" s="1"/>
  <c r="AF41" i="5"/>
  <c r="AF54" i="5" s="1"/>
  <c r="AC41" i="5"/>
  <c r="AC54" i="5" s="1"/>
  <c r="AB41" i="5"/>
  <c r="AB54" i="5" s="1"/>
  <c r="AA41" i="5"/>
  <c r="AA54" i="5" s="1"/>
  <c r="Z41" i="5"/>
  <c r="Z54" i="5" s="1"/>
  <c r="Y41" i="5"/>
  <c r="Y54" i="5" s="1"/>
  <c r="X41" i="5"/>
  <c r="X54" i="5" s="1"/>
  <c r="W41" i="5"/>
  <c r="W54" i="5" s="1"/>
  <c r="V41" i="5"/>
  <c r="V54" i="5" s="1"/>
  <c r="U41" i="5"/>
  <c r="U54" i="5" s="1"/>
  <c r="T41" i="5"/>
  <c r="T54" i="5" s="1"/>
  <c r="S41" i="5"/>
  <c r="S54" i="5" s="1"/>
  <c r="R41" i="5"/>
  <c r="R54" i="5" s="1"/>
  <c r="Q41" i="5"/>
  <c r="Q54" i="5" s="1"/>
  <c r="P41" i="5"/>
  <c r="P54" i="5" s="1"/>
  <c r="O41" i="5"/>
  <c r="O54" i="5" s="1"/>
  <c r="N41" i="5"/>
  <c r="N54" i="5" s="1"/>
  <c r="M41" i="5"/>
  <c r="M54" i="5" s="1"/>
  <c r="L41" i="5"/>
  <c r="L54" i="5" s="1"/>
  <c r="K41" i="5"/>
  <c r="K54" i="5" s="1"/>
  <c r="J41" i="5"/>
  <c r="J54" i="5" s="1"/>
  <c r="I41" i="5"/>
  <c r="I54" i="5" s="1"/>
  <c r="H41" i="5"/>
  <c r="H54" i="5" s="1"/>
  <c r="CH39" i="5"/>
  <c r="CH61" i="5" s="1"/>
  <c r="CG39" i="5"/>
  <c r="CF39" i="5"/>
  <c r="CE39" i="5"/>
  <c r="CD39" i="5"/>
  <c r="CC39" i="5"/>
  <c r="CB39" i="5"/>
  <c r="CA39" i="5"/>
  <c r="CA61" i="5" s="1"/>
  <c r="BZ39" i="5"/>
  <c r="BZ61" i="5" s="1"/>
  <c r="BY39" i="5"/>
  <c r="BX39" i="5"/>
  <c r="BW39" i="5"/>
  <c r="BV39" i="5"/>
  <c r="BV61" i="5" s="1"/>
  <c r="BU39" i="5"/>
  <c r="BT39" i="5"/>
  <c r="BS39" i="5"/>
  <c r="BS61" i="5" s="1"/>
  <c r="BR39" i="5"/>
  <c r="BR61" i="5" s="1"/>
  <c r="BQ39" i="5"/>
  <c r="BP39" i="5"/>
  <c r="BO39" i="5"/>
  <c r="BN39" i="5"/>
  <c r="BN61" i="5" s="1"/>
  <c r="BM39" i="5"/>
  <c r="BL39" i="5"/>
  <c r="BL61" i="5" s="1"/>
  <c r="BK39" i="5"/>
  <c r="BK61" i="5" s="1"/>
  <c r="BJ39" i="5"/>
  <c r="BJ61" i="5" s="1"/>
  <c r="BI39" i="5"/>
  <c r="BH39" i="5"/>
  <c r="BG39" i="5"/>
  <c r="BF39" i="5"/>
  <c r="BF61" i="5" s="1"/>
  <c r="BE39" i="5"/>
  <c r="BD39" i="5"/>
  <c r="BC39" i="5"/>
  <c r="BC61" i="5" s="1"/>
  <c r="BB39" i="5"/>
  <c r="BB61" i="5" s="1"/>
  <c r="BA39" i="5"/>
  <c r="AZ39" i="5"/>
  <c r="AY39" i="5"/>
  <c r="AR39" i="5"/>
  <c r="AQ39" i="5"/>
  <c r="AP39" i="5"/>
  <c r="AP61" i="5" s="1"/>
  <c r="AO39" i="5"/>
  <c r="AN39" i="5"/>
  <c r="AN61" i="5" s="1"/>
  <c r="AM39" i="5"/>
  <c r="AM61" i="5" s="1"/>
  <c r="AJ39" i="5"/>
  <c r="AI39" i="5"/>
  <c r="AH39" i="5"/>
  <c r="AH61" i="5" s="1"/>
  <c r="AG39" i="5"/>
  <c r="AF39" i="5"/>
  <c r="AC39" i="5"/>
  <c r="AB39" i="5"/>
  <c r="AA39" i="5"/>
  <c r="Z39" i="5"/>
  <c r="Y39" i="5"/>
  <c r="X39" i="5"/>
  <c r="W39" i="5"/>
  <c r="W61" i="5" s="1"/>
  <c r="V39" i="5"/>
  <c r="U39" i="5"/>
  <c r="T39" i="5"/>
  <c r="T61" i="5" s="1"/>
  <c r="S39" i="5"/>
  <c r="R39" i="5"/>
  <c r="R61" i="5" s="1"/>
  <c r="Q39" i="5"/>
  <c r="P39" i="5"/>
  <c r="O39" i="5"/>
  <c r="N39" i="5"/>
  <c r="M39" i="5"/>
  <c r="L39" i="5"/>
  <c r="K39" i="5"/>
  <c r="K61" i="5" s="1"/>
  <c r="J39" i="5"/>
  <c r="J61" i="5" s="1"/>
  <c r="I39" i="5"/>
  <c r="I61" i="5" s="1"/>
  <c r="H39" i="5"/>
  <c r="CH38" i="5"/>
  <c r="CG38" i="5"/>
  <c r="CG53" i="5" s="1"/>
  <c r="CF38" i="5"/>
  <c r="CF53" i="5" s="1"/>
  <c r="CE38" i="5"/>
  <c r="CE53" i="5" s="1"/>
  <c r="CD38" i="5"/>
  <c r="CD53" i="5" s="1"/>
  <c r="CC38" i="5"/>
  <c r="CC53" i="5" s="1"/>
  <c r="CB38" i="5"/>
  <c r="CB53" i="5" s="1"/>
  <c r="CA38" i="5"/>
  <c r="CA53" i="5" s="1"/>
  <c r="BZ38" i="5"/>
  <c r="BY38" i="5"/>
  <c r="BY53" i="5" s="1"/>
  <c r="BX38" i="5"/>
  <c r="BX53" i="5" s="1"/>
  <c r="BW38" i="5"/>
  <c r="BW53" i="5" s="1"/>
  <c r="BV38" i="5"/>
  <c r="BV53" i="5" s="1"/>
  <c r="BU38" i="5"/>
  <c r="BU53" i="5" s="1"/>
  <c r="BT38" i="5"/>
  <c r="BT53" i="5" s="1"/>
  <c r="BS38" i="5"/>
  <c r="BS53" i="5" s="1"/>
  <c r="BR38" i="5"/>
  <c r="BQ38" i="5"/>
  <c r="BQ53" i="5" s="1"/>
  <c r="BP38" i="5"/>
  <c r="BP53" i="5" s="1"/>
  <c r="BO38" i="5"/>
  <c r="BO53" i="5" s="1"/>
  <c r="BN38" i="5"/>
  <c r="BN53" i="5" s="1"/>
  <c r="BM38" i="5"/>
  <c r="BM53" i="5" s="1"/>
  <c r="BL38" i="5"/>
  <c r="BL53" i="5" s="1"/>
  <c r="BK38" i="5"/>
  <c r="BK53" i="5" s="1"/>
  <c r="BJ38" i="5"/>
  <c r="BI38" i="5"/>
  <c r="BI53" i="5" s="1"/>
  <c r="BH38" i="5"/>
  <c r="BH53" i="5" s="1"/>
  <c r="BG38" i="5"/>
  <c r="BG53" i="5" s="1"/>
  <c r="BF38" i="5"/>
  <c r="BF53" i="5" s="1"/>
  <c r="BE38" i="5"/>
  <c r="BE53" i="5" s="1"/>
  <c r="BD38" i="5"/>
  <c r="BD53" i="5" s="1"/>
  <c r="BC38" i="5"/>
  <c r="BC53" i="5" s="1"/>
  <c r="BB38" i="5"/>
  <c r="BA38" i="5"/>
  <c r="BA53" i="5" s="1"/>
  <c r="AZ38" i="5"/>
  <c r="AZ53" i="5" s="1"/>
  <c r="AY38" i="5"/>
  <c r="AY53" i="5" s="1"/>
  <c r="AR38" i="5"/>
  <c r="AR53" i="5" s="1"/>
  <c r="AQ38" i="5"/>
  <c r="AQ53" i="5" s="1"/>
  <c r="AP38" i="5"/>
  <c r="AP53" i="5" s="1"/>
  <c r="AO38" i="5"/>
  <c r="AO53" i="5" s="1"/>
  <c r="AN38" i="5"/>
  <c r="AN53" i="5" s="1"/>
  <c r="AM38" i="5"/>
  <c r="AM53" i="5" s="1"/>
  <c r="AJ38" i="5"/>
  <c r="AJ53" i="5" s="1"/>
  <c r="AI38" i="5"/>
  <c r="AI53" i="5" s="1"/>
  <c r="AH38" i="5"/>
  <c r="AH53" i="5" s="1"/>
  <c r="AG38" i="5"/>
  <c r="AG53" i="5" s="1"/>
  <c r="AF38" i="5"/>
  <c r="AF53" i="5" s="1"/>
  <c r="AC38" i="5"/>
  <c r="AC53" i="5" s="1"/>
  <c r="AB38" i="5"/>
  <c r="AB53" i="5" s="1"/>
  <c r="AA38" i="5"/>
  <c r="AA53" i="5" s="1"/>
  <c r="Z38" i="5"/>
  <c r="Z53" i="5" s="1"/>
  <c r="Y38" i="5"/>
  <c r="Y53" i="5" s="1"/>
  <c r="X38" i="5"/>
  <c r="X53" i="5" s="1"/>
  <c r="W38" i="5"/>
  <c r="W53" i="5" s="1"/>
  <c r="V38" i="5"/>
  <c r="V53" i="5" s="1"/>
  <c r="U38" i="5"/>
  <c r="U53" i="5" s="1"/>
  <c r="T38" i="5"/>
  <c r="T53" i="5" s="1"/>
  <c r="S38" i="5"/>
  <c r="S53" i="5" s="1"/>
  <c r="R38" i="5"/>
  <c r="R53" i="5" s="1"/>
  <c r="Q38" i="5"/>
  <c r="Q53" i="5" s="1"/>
  <c r="P38" i="5"/>
  <c r="P53" i="5" s="1"/>
  <c r="O38" i="5"/>
  <c r="O53" i="5" s="1"/>
  <c r="N38" i="5"/>
  <c r="N53" i="5" s="1"/>
  <c r="M38" i="5"/>
  <c r="M53" i="5" s="1"/>
  <c r="L38" i="5"/>
  <c r="L53" i="5" s="1"/>
  <c r="K38" i="5"/>
  <c r="K53" i="5" s="1"/>
  <c r="J38" i="5"/>
  <c r="J53" i="5" s="1"/>
  <c r="I38" i="5"/>
  <c r="I53" i="5" s="1"/>
  <c r="H38" i="5"/>
  <c r="H53" i="5" s="1"/>
  <c r="CH36" i="5"/>
  <c r="CG36" i="5"/>
  <c r="CF36" i="5"/>
  <c r="CE36" i="5"/>
  <c r="CE60" i="5" s="1"/>
  <c r="CD36" i="5"/>
  <c r="CD60" i="5" s="1"/>
  <c r="CC36" i="5"/>
  <c r="CB36" i="5"/>
  <c r="CA36" i="5"/>
  <c r="BZ36" i="5"/>
  <c r="BY36" i="5"/>
  <c r="BX36" i="5"/>
  <c r="BW36" i="5"/>
  <c r="BW60" i="5" s="1"/>
  <c r="BV36" i="5"/>
  <c r="BU36" i="5"/>
  <c r="BT36" i="5"/>
  <c r="BS36" i="5"/>
  <c r="BR36" i="5"/>
  <c r="BQ36" i="5"/>
  <c r="BP36" i="5"/>
  <c r="BO36" i="5"/>
  <c r="BO60" i="5" s="1"/>
  <c r="BN36" i="5"/>
  <c r="BN60" i="5" s="1"/>
  <c r="BM36" i="5"/>
  <c r="BL36" i="5"/>
  <c r="BK36" i="5"/>
  <c r="BJ36" i="5"/>
  <c r="BI36" i="5"/>
  <c r="BH36" i="5"/>
  <c r="BG36" i="5"/>
  <c r="BG60" i="5" s="1"/>
  <c r="BF36" i="5"/>
  <c r="BF60" i="5" s="1"/>
  <c r="BE36" i="5"/>
  <c r="BD36" i="5"/>
  <c r="BC36" i="5"/>
  <c r="BB36" i="5"/>
  <c r="BA36" i="5"/>
  <c r="AZ36" i="5"/>
  <c r="AY36" i="5"/>
  <c r="AY60" i="5" s="1"/>
  <c r="AR36" i="5"/>
  <c r="AQ36" i="5"/>
  <c r="AQ60" i="5" s="1"/>
  <c r="AP36" i="5"/>
  <c r="AP60" i="5" s="1"/>
  <c r="AO36" i="5"/>
  <c r="AN36" i="5"/>
  <c r="AM36" i="5"/>
  <c r="AJ36" i="5"/>
  <c r="AI36" i="5"/>
  <c r="AI60" i="5" s="1"/>
  <c r="AH36" i="5"/>
  <c r="AH60" i="5" s="1"/>
  <c r="AG36" i="5"/>
  <c r="AF36" i="5"/>
  <c r="AC36" i="5"/>
  <c r="AB36" i="5"/>
  <c r="AA36" i="5"/>
  <c r="AA60" i="5" s="1"/>
  <c r="Z36" i="5"/>
  <c r="Z60" i="5" s="1"/>
  <c r="Y36" i="5"/>
  <c r="X36" i="5"/>
  <c r="W36" i="5"/>
  <c r="V36" i="5"/>
  <c r="V60" i="5" s="1"/>
  <c r="U36" i="5"/>
  <c r="U60" i="5" s="1"/>
  <c r="T36" i="5"/>
  <c r="S36" i="5"/>
  <c r="R36" i="5"/>
  <c r="R60" i="5" s="1"/>
  <c r="Q36" i="5"/>
  <c r="P36" i="5"/>
  <c r="O36" i="5"/>
  <c r="N36" i="5"/>
  <c r="N60" i="5" s="1"/>
  <c r="M36" i="5"/>
  <c r="M60" i="5" s="1"/>
  <c r="L36" i="5"/>
  <c r="K36" i="5"/>
  <c r="J36" i="5"/>
  <c r="J60" i="5" s="1"/>
  <c r="I36" i="5"/>
  <c r="H36" i="5"/>
  <c r="CH35" i="5"/>
  <c r="CH52" i="5" s="1"/>
  <c r="CG35" i="5"/>
  <c r="CG52" i="5" s="1"/>
  <c r="CF35" i="5"/>
  <c r="CF52" i="5" s="1"/>
  <c r="CE35" i="5"/>
  <c r="CE52" i="5" s="1"/>
  <c r="CD35" i="5"/>
  <c r="CD52" i="5" s="1"/>
  <c r="CC35" i="5"/>
  <c r="CC52" i="5" s="1"/>
  <c r="CB35" i="5"/>
  <c r="CB52" i="5" s="1"/>
  <c r="CA35" i="5"/>
  <c r="CA52" i="5" s="1"/>
  <c r="BZ35" i="5"/>
  <c r="BZ52" i="5" s="1"/>
  <c r="BY35" i="5"/>
  <c r="BY52" i="5" s="1"/>
  <c r="BX35" i="5"/>
  <c r="BX52" i="5" s="1"/>
  <c r="BW35" i="5"/>
  <c r="BW52" i="5" s="1"/>
  <c r="BV35" i="5"/>
  <c r="BV52" i="5" s="1"/>
  <c r="BU35" i="5"/>
  <c r="BU52" i="5" s="1"/>
  <c r="BT35" i="5"/>
  <c r="BT52" i="5" s="1"/>
  <c r="BS35" i="5"/>
  <c r="BS52" i="5" s="1"/>
  <c r="BR35" i="5"/>
  <c r="BR52" i="5" s="1"/>
  <c r="BQ35" i="5"/>
  <c r="BQ52" i="5" s="1"/>
  <c r="BP35" i="5"/>
  <c r="BP52" i="5" s="1"/>
  <c r="BO35" i="5"/>
  <c r="BO52" i="5" s="1"/>
  <c r="BN35" i="5"/>
  <c r="BN52" i="5" s="1"/>
  <c r="BM35" i="5"/>
  <c r="BM52" i="5" s="1"/>
  <c r="BL35" i="5"/>
  <c r="BL52" i="5" s="1"/>
  <c r="BK35" i="5"/>
  <c r="BK52" i="5" s="1"/>
  <c r="BJ35" i="5"/>
  <c r="BJ52" i="5" s="1"/>
  <c r="BI35" i="5"/>
  <c r="BI52" i="5" s="1"/>
  <c r="BH35" i="5"/>
  <c r="BH52" i="5" s="1"/>
  <c r="BG35" i="5"/>
  <c r="BG52" i="5" s="1"/>
  <c r="BF35" i="5"/>
  <c r="BF52" i="5" s="1"/>
  <c r="BE35" i="5"/>
  <c r="BE52" i="5" s="1"/>
  <c r="BD35" i="5"/>
  <c r="BD52" i="5" s="1"/>
  <c r="BC35" i="5"/>
  <c r="BC52" i="5" s="1"/>
  <c r="BB35" i="5"/>
  <c r="BB52" i="5" s="1"/>
  <c r="BA35" i="5"/>
  <c r="BA52" i="5" s="1"/>
  <c r="AZ35" i="5"/>
  <c r="AZ52" i="5" s="1"/>
  <c r="AY35" i="5"/>
  <c r="AY52" i="5" s="1"/>
  <c r="AR35" i="5"/>
  <c r="AR52" i="5" s="1"/>
  <c r="AQ35" i="5"/>
  <c r="AQ52" i="5" s="1"/>
  <c r="AP35" i="5"/>
  <c r="AP52" i="5" s="1"/>
  <c r="AO35" i="5"/>
  <c r="AO52" i="5" s="1"/>
  <c r="AN35" i="5"/>
  <c r="AN52" i="5" s="1"/>
  <c r="AM35" i="5"/>
  <c r="AM52" i="5" s="1"/>
  <c r="AJ35" i="5"/>
  <c r="AJ52" i="5" s="1"/>
  <c r="AI35" i="5"/>
  <c r="AI52" i="5" s="1"/>
  <c r="AH35" i="5"/>
  <c r="AH52" i="5" s="1"/>
  <c r="AG35" i="5"/>
  <c r="AG52" i="5" s="1"/>
  <c r="AF35" i="5"/>
  <c r="AF52" i="5" s="1"/>
  <c r="AC35" i="5"/>
  <c r="AC52" i="5" s="1"/>
  <c r="AB35" i="5"/>
  <c r="AB52" i="5" s="1"/>
  <c r="AA35" i="5"/>
  <c r="AA52" i="5" s="1"/>
  <c r="Z35" i="5"/>
  <c r="Z52" i="5" s="1"/>
  <c r="Y35" i="5"/>
  <c r="Y52" i="5" s="1"/>
  <c r="X35" i="5"/>
  <c r="X52" i="5" s="1"/>
  <c r="W35" i="5"/>
  <c r="W52" i="5" s="1"/>
  <c r="V35" i="5"/>
  <c r="V52" i="5" s="1"/>
  <c r="U35" i="5"/>
  <c r="U52" i="5" s="1"/>
  <c r="T35" i="5"/>
  <c r="T52" i="5" s="1"/>
  <c r="S35" i="5"/>
  <c r="S52" i="5" s="1"/>
  <c r="R35" i="5"/>
  <c r="R52" i="5" s="1"/>
  <c r="Q35" i="5"/>
  <c r="Q52" i="5" s="1"/>
  <c r="P35" i="5"/>
  <c r="P52" i="5" s="1"/>
  <c r="O35" i="5"/>
  <c r="O52" i="5" s="1"/>
  <c r="N35" i="5"/>
  <c r="N52" i="5" s="1"/>
  <c r="M35" i="5"/>
  <c r="M52" i="5" s="1"/>
  <c r="L35" i="5"/>
  <c r="L52" i="5" s="1"/>
  <c r="K35" i="5"/>
  <c r="K52" i="5" s="1"/>
  <c r="J35" i="5"/>
  <c r="J52" i="5" s="1"/>
  <c r="I35" i="5"/>
  <c r="I52" i="5" s="1"/>
  <c r="H35" i="5"/>
  <c r="H52" i="5" s="1"/>
  <c r="CH33" i="5"/>
  <c r="CG33" i="5"/>
  <c r="CF33" i="5"/>
  <c r="CE33" i="5"/>
  <c r="CD33" i="5"/>
  <c r="CD59" i="5" s="1"/>
  <c r="CC33" i="5"/>
  <c r="CC59" i="5" s="1"/>
  <c r="CB33" i="5"/>
  <c r="CA33" i="5"/>
  <c r="BZ33" i="5"/>
  <c r="BY33" i="5"/>
  <c r="BX33" i="5"/>
  <c r="BW33" i="5"/>
  <c r="BV33" i="5"/>
  <c r="BV59" i="5" s="1"/>
  <c r="BU33" i="5"/>
  <c r="BU59" i="5" s="1"/>
  <c r="BT33" i="5"/>
  <c r="BS33" i="5"/>
  <c r="BR33" i="5"/>
  <c r="BQ33" i="5"/>
  <c r="BP33" i="5"/>
  <c r="BO33" i="5"/>
  <c r="BN33" i="5"/>
  <c r="BN59" i="5" s="1"/>
  <c r="BM33" i="5"/>
  <c r="BM59" i="5" s="1"/>
  <c r="BL33" i="5"/>
  <c r="BK33" i="5"/>
  <c r="BJ33" i="5"/>
  <c r="BJ59" i="5" s="1"/>
  <c r="BI33" i="5"/>
  <c r="BH33" i="5"/>
  <c r="BG33" i="5"/>
  <c r="BF33" i="5"/>
  <c r="BF59" i="5" s="1"/>
  <c r="BE33" i="5"/>
  <c r="BE59" i="5" s="1"/>
  <c r="BD33" i="5"/>
  <c r="BC33" i="5"/>
  <c r="BB33" i="5"/>
  <c r="BA33" i="5"/>
  <c r="AZ33" i="5"/>
  <c r="AY33" i="5"/>
  <c r="AR33" i="5"/>
  <c r="AQ33" i="5"/>
  <c r="AP33" i="5"/>
  <c r="AO33" i="5"/>
  <c r="AO59" i="5" s="1"/>
  <c r="AN33" i="5"/>
  <c r="AM33" i="5"/>
  <c r="AJ33" i="5"/>
  <c r="AI33" i="5"/>
  <c r="AH33" i="5"/>
  <c r="AH59" i="5" s="1"/>
  <c r="AG33" i="5"/>
  <c r="AG59" i="5" s="1"/>
  <c r="AF33" i="5"/>
  <c r="AC33" i="5"/>
  <c r="AB33" i="5"/>
  <c r="AB59" i="5" s="1"/>
  <c r="AA33" i="5"/>
  <c r="Z33" i="5"/>
  <c r="Y33" i="5"/>
  <c r="Y59" i="5" s="1"/>
  <c r="X33" i="5"/>
  <c r="X59" i="5" s="1"/>
  <c r="W33" i="5"/>
  <c r="V33" i="5"/>
  <c r="U33" i="5"/>
  <c r="U59" i="5" s="1"/>
  <c r="T33" i="5"/>
  <c r="T59" i="5" s="1"/>
  <c r="S33" i="5"/>
  <c r="R33" i="5"/>
  <c r="Q33" i="5"/>
  <c r="P33" i="5"/>
  <c r="O33" i="5"/>
  <c r="N33" i="5"/>
  <c r="M33" i="5"/>
  <c r="M59" i="5" s="1"/>
  <c r="L33" i="5"/>
  <c r="L59" i="5" s="1"/>
  <c r="K33" i="5"/>
  <c r="J33" i="5"/>
  <c r="I33" i="5"/>
  <c r="H33" i="5"/>
  <c r="CH32" i="5"/>
  <c r="CH51" i="5" s="1"/>
  <c r="CG32" i="5"/>
  <c r="CG51" i="5" s="1"/>
  <c r="CF32" i="5"/>
  <c r="CF51" i="5" s="1"/>
  <c r="CE32" i="5"/>
  <c r="CE51" i="5" s="1"/>
  <c r="CD32" i="5"/>
  <c r="CD51" i="5" s="1"/>
  <c r="CC32" i="5"/>
  <c r="CC51" i="5" s="1"/>
  <c r="CB32" i="5"/>
  <c r="CB51" i="5" s="1"/>
  <c r="CA32" i="5"/>
  <c r="CA51" i="5" s="1"/>
  <c r="BZ32" i="5"/>
  <c r="BZ51" i="5" s="1"/>
  <c r="BY32" i="5"/>
  <c r="BY51" i="5" s="1"/>
  <c r="BX32" i="5"/>
  <c r="BX51" i="5" s="1"/>
  <c r="BW32" i="5"/>
  <c r="BW51" i="5" s="1"/>
  <c r="BV32" i="5"/>
  <c r="BV51" i="5" s="1"/>
  <c r="BU32" i="5"/>
  <c r="BU51" i="5" s="1"/>
  <c r="BT32" i="5"/>
  <c r="BT51" i="5" s="1"/>
  <c r="BS32" i="5"/>
  <c r="BS51" i="5" s="1"/>
  <c r="BR32" i="5"/>
  <c r="BR51" i="5" s="1"/>
  <c r="BQ32" i="5"/>
  <c r="BQ51" i="5" s="1"/>
  <c r="BP32" i="5"/>
  <c r="BP51" i="5" s="1"/>
  <c r="BO32" i="5"/>
  <c r="BO51" i="5" s="1"/>
  <c r="BN32" i="5"/>
  <c r="BN51" i="5" s="1"/>
  <c r="BM32" i="5"/>
  <c r="BM51" i="5" s="1"/>
  <c r="BL32" i="5"/>
  <c r="BL51" i="5" s="1"/>
  <c r="BK32" i="5"/>
  <c r="BK51" i="5" s="1"/>
  <c r="BJ32" i="5"/>
  <c r="BJ51" i="5" s="1"/>
  <c r="BI32" i="5"/>
  <c r="BI51" i="5" s="1"/>
  <c r="BH32" i="5"/>
  <c r="BH51" i="5" s="1"/>
  <c r="BG32" i="5"/>
  <c r="BG51" i="5" s="1"/>
  <c r="BF32" i="5"/>
  <c r="BF51" i="5" s="1"/>
  <c r="BE32" i="5"/>
  <c r="BE51" i="5" s="1"/>
  <c r="BD32" i="5"/>
  <c r="BD51" i="5" s="1"/>
  <c r="BC32" i="5"/>
  <c r="BC51" i="5" s="1"/>
  <c r="BB32" i="5"/>
  <c r="BB51" i="5" s="1"/>
  <c r="BA32" i="5"/>
  <c r="BA51" i="5" s="1"/>
  <c r="AZ32" i="5"/>
  <c r="AZ51" i="5" s="1"/>
  <c r="AY32" i="5"/>
  <c r="AY51" i="5" s="1"/>
  <c r="AR32" i="5"/>
  <c r="AR51" i="5" s="1"/>
  <c r="AQ32" i="5"/>
  <c r="AQ51" i="5" s="1"/>
  <c r="AP32" i="5"/>
  <c r="AP51" i="5" s="1"/>
  <c r="AO32" i="5"/>
  <c r="AO51" i="5" s="1"/>
  <c r="AN32" i="5"/>
  <c r="AN51" i="5" s="1"/>
  <c r="AM32" i="5"/>
  <c r="AM51" i="5" s="1"/>
  <c r="AJ32" i="5"/>
  <c r="AJ51" i="5" s="1"/>
  <c r="AI32" i="5"/>
  <c r="AI51" i="5" s="1"/>
  <c r="AH32" i="5"/>
  <c r="AH51" i="5" s="1"/>
  <c r="AG32" i="5"/>
  <c r="AG51" i="5" s="1"/>
  <c r="AF32" i="5"/>
  <c r="AF51" i="5" s="1"/>
  <c r="AC32" i="5"/>
  <c r="AC51" i="5" s="1"/>
  <c r="AB32" i="5"/>
  <c r="AB51" i="5" s="1"/>
  <c r="AA32" i="5"/>
  <c r="AA51" i="5" s="1"/>
  <c r="Z32" i="5"/>
  <c r="Z51" i="5" s="1"/>
  <c r="Y32" i="5"/>
  <c r="Y51" i="5" s="1"/>
  <c r="X32" i="5"/>
  <c r="X51" i="5" s="1"/>
  <c r="W32" i="5"/>
  <c r="W51" i="5" s="1"/>
  <c r="V32" i="5"/>
  <c r="V51" i="5" s="1"/>
  <c r="U32" i="5"/>
  <c r="U51" i="5" s="1"/>
  <c r="T32" i="5"/>
  <c r="T51" i="5" s="1"/>
  <c r="S32" i="5"/>
  <c r="S51" i="5" s="1"/>
  <c r="R32" i="5"/>
  <c r="R51" i="5" s="1"/>
  <c r="Q32" i="5"/>
  <c r="Q51" i="5" s="1"/>
  <c r="P32" i="5"/>
  <c r="P51" i="5" s="1"/>
  <c r="O32" i="5"/>
  <c r="O51" i="5" s="1"/>
  <c r="N32" i="5"/>
  <c r="N51" i="5" s="1"/>
  <c r="M32" i="5"/>
  <c r="M51" i="5" s="1"/>
  <c r="L32" i="5"/>
  <c r="L51" i="5" s="1"/>
  <c r="K32" i="5"/>
  <c r="K51" i="5" s="1"/>
  <c r="J32" i="5"/>
  <c r="J51" i="5" s="1"/>
  <c r="I32" i="5"/>
  <c r="I51" i="5" s="1"/>
  <c r="H32" i="5"/>
  <c r="H51" i="5" s="1"/>
  <c r="H50" i="5"/>
  <c r="I50" i="5"/>
  <c r="J50" i="5"/>
  <c r="K50" i="5"/>
  <c r="L50" i="5"/>
  <c r="M50" i="5"/>
  <c r="N50" i="5"/>
  <c r="O50" i="5"/>
  <c r="P50" i="5"/>
  <c r="Q50" i="5"/>
  <c r="R50" i="5"/>
  <c r="S50" i="5"/>
  <c r="G45" i="5"/>
  <c r="G44" i="5"/>
  <c r="G42" i="5"/>
  <c r="G41" i="5"/>
  <c r="G36" i="5"/>
  <c r="G35" i="5"/>
  <c r="G33" i="5"/>
  <c r="G32" i="5"/>
  <c r="BV37" i="5" l="1"/>
  <c r="J46" i="5"/>
  <c r="K43" i="5"/>
  <c r="BV60" i="5"/>
  <c r="BT43" i="5"/>
  <c r="T46" i="5"/>
  <c r="BT46" i="5"/>
  <c r="CC46" i="5"/>
  <c r="T34" i="5"/>
  <c r="U49" i="5"/>
  <c r="BF34" i="5"/>
  <c r="O37" i="5"/>
  <c r="M40" i="5"/>
  <c r="Z40" i="5"/>
  <c r="AC34" i="5"/>
  <c r="M37" i="5"/>
  <c r="BS40" i="5"/>
  <c r="CB34" i="5"/>
  <c r="CB59" i="5"/>
  <c r="CA37" i="5"/>
  <c r="CA60" i="5"/>
  <c r="I34" i="5"/>
  <c r="I59" i="5"/>
  <c r="Q34" i="5"/>
  <c r="Q59" i="5"/>
  <c r="AN34" i="5"/>
  <c r="AN59" i="5"/>
  <c r="U34" i="5"/>
  <c r="BM34" i="5"/>
  <c r="K37" i="5"/>
  <c r="K60" i="5"/>
  <c r="AP37" i="5"/>
  <c r="BA40" i="5"/>
  <c r="BA61" i="5"/>
  <c r="BI40" i="5"/>
  <c r="BI61" i="5"/>
  <c r="BQ40" i="5"/>
  <c r="BQ61" i="5"/>
  <c r="BY40" i="5"/>
  <c r="BY61" i="5"/>
  <c r="CG40" i="5"/>
  <c r="CG61" i="5"/>
  <c r="BD34" i="5"/>
  <c r="BD59" i="5"/>
  <c r="BS37" i="5"/>
  <c r="BS60" i="5"/>
  <c r="U40" i="5"/>
  <c r="U61" i="5"/>
  <c r="J34" i="5"/>
  <c r="J59" i="5"/>
  <c r="R34" i="5"/>
  <c r="R59" i="5"/>
  <c r="AF34" i="5"/>
  <c r="AF59" i="5"/>
  <c r="AG34" i="5"/>
  <c r="BN34" i="5"/>
  <c r="L37" i="5"/>
  <c r="L60" i="5"/>
  <c r="T37" i="5"/>
  <c r="T60" i="5"/>
  <c r="H46" i="5"/>
  <c r="H63" i="5"/>
  <c r="P46" i="5"/>
  <c r="P63" i="5"/>
  <c r="AC46" i="5"/>
  <c r="AC63" i="5"/>
  <c r="H34" i="5"/>
  <c r="H59" i="5"/>
  <c r="BL34" i="5"/>
  <c r="BL59" i="5"/>
  <c r="BC37" i="5"/>
  <c r="BC60" i="5"/>
  <c r="K34" i="5"/>
  <c r="K59" i="5"/>
  <c r="S34" i="5"/>
  <c r="S59" i="5"/>
  <c r="AP34" i="5"/>
  <c r="AP59" i="5"/>
  <c r="AY34" i="5"/>
  <c r="AY59" i="5"/>
  <c r="BG34" i="5"/>
  <c r="BG59" i="5"/>
  <c r="BO34" i="5"/>
  <c r="BO59" i="5"/>
  <c r="BW34" i="5"/>
  <c r="BW59" i="5"/>
  <c r="CE34" i="5"/>
  <c r="CE59" i="5"/>
  <c r="AH34" i="5"/>
  <c r="BU34" i="5"/>
  <c r="AM46" i="5"/>
  <c r="AM63" i="5"/>
  <c r="AQ34" i="5"/>
  <c r="AQ59" i="5"/>
  <c r="AZ34" i="5"/>
  <c r="AZ59" i="5"/>
  <c r="BH34" i="5"/>
  <c r="BH59" i="5"/>
  <c r="BP34" i="5"/>
  <c r="BP59" i="5"/>
  <c r="BX34" i="5"/>
  <c r="BX59" i="5"/>
  <c r="CF34" i="5"/>
  <c r="CF59" i="5"/>
  <c r="AO34" i="5"/>
  <c r="BV34" i="5"/>
  <c r="O43" i="5"/>
  <c r="O62" i="5"/>
  <c r="AB43" i="5"/>
  <c r="AB62" i="5"/>
  <c r="BD46" i="5"/>
  <c r="BD63" i="5"/>
  <c r="BL46" i="5"/>
  <c r="BL63" i="5"/>
  <c r="CB46" i="5"/>
  <c r="CB63" i="5"/>
  <c r="O60" i="5"/>
  <c r="BT63" i="5"/>
  <c r="AM34" i="5"/>
  <c r="AM59" i="5"/>
  <c r="BK37" i="5"/>
  <c r="BK60" i="5"/>
  <c r="Z34" i="5"/>
  <c r="Z59" i="5"/>
  <c r="AI34" i="5"/>
  <c r="AI59" i="5"/>
  <c r="AR34" i="5"/>
  <c r="AR59" i="5"/>
  <c r="BA34" i="5"/>
  <c r="BA59" i="5"/>
  <c r="BI34" i="5"/>
  <c r="BI59" i="5"/>
  <c r="BQ34" i="5"/>
  <c r="BQ59" i="5"/>
  <c r="BY34" i="5"/>
  <c r="BY59" i="5"/>
  <c r="CG34" i="5"/>
  <c r="CG59" i="5"/>
  <c r="CC34" i="5"/>
  <c r="AB37" i="5"/>
  <c r="AB60" i="5"/>
  <c r="AM49" i="5"/>
  <c r="AM64" i="5"/>
  <c r="N34" i="5"/>
  <c r="N59" i="5"/>
  <c r="V34" i="5"/>
  <c r="V59" i="5"/>
  <c r="AA34" i="5"/>
  <c r="AJ34" i="5"/>
  <c r="AJ59" i="5"/>
  <c r="BB34" i="5"/>
  <c r="BB59" i="5"/>
  <c r="BJ34" i="5"/>
  <c r="BR34" i="5"/>
  <c r="BR59" i="5"/>
  <c r="BZ34" i="5"/>
  <c r="BZ59" i="5"/>
  <c r="CH34" i="5"/>
  <c r="CH59" i="5"/>
  <c r="CD34" i="5"/>
  <c r="H37" i="5"/>
  <c r="H60" i="5"/>
  <c r="AR40" i="5"/>
  <c r="AR61" i="5"/>
  <c r="P34" i="5"/>
  <c r="P59" i="5"/>
  <c r="BT34" i="5"/>
  <c r="BT59" i="5"/>
  <c r="O34" i="5"/>
  <c r="O59" i="5"/>
  <c r="BC34" i="5"/>
  <c r="BC59" i="5"/>
  <c r="BK34" i="5"/>
  <c r="BK59" i="5"/>
  <c r="BS34" i="5"/>
  <c r="BS59" i="5"/>
  <c r="CA34" i="5"/>
  <c r="CA59" i="5"/>
  <c r="L34" i="5"/>
  <c r="BE34" i="5"/>
  <c r="I37" i="5"/>
  <c r="I60" i="5"/>
  <c r="Q37" i="5"/>
  <c r="Q60" i="5"/>
  <c r="AI40" i="5"/>
  <c r="AI61" i="5"/>
  <c r="BC43" i="5"/>
  <c r="BC62" i="5"/>
  <c r="BK43" i="5"/>
  <c r="BK62" i="5"/>
  <c r="BS43" i="5"/>
  <c r="BS62" i="5"/>
  <c r="CA43" i="5"/>
  <c r="CA62" i="5"/>
  <c r="H49" i="5"/>
  <c r="H64" i="5"/>
  <c r="P49" i="5"/>
  <c r="P64" i="5"/>
  <c r="AC49" i="5"/>
  <c r="AC64" i="5"/>
  <c r="P37" i="5"/>
  <c r="P60" i="5"/>
  <c r="AC37" i="5"/>
  <c r="AC60" i="5"/>
  <c r="AM37" i="5"/>
  <c r="BD37" i="5"/>
  <c r="BL37" i="5"/>
  <c r="BT37" i="5"/>
  <c r="CB37" i="5"/>
  <c r="N37" i="5"/>
  <c r="AQ37" i="5"/>
  <c r="BW37" i="5"/>
  <c r="N40" i="5"/>
  <c r="N61" i="5"/>
  <c r="V40" i="5"/>
  <c r="V61" i="5"/>
  <c r="AA40" i="5"/>
  <c r="AJ40" i="5"/>
  <c r="AJ61" i="5"/>
  <c r="CA40" i="5"/>
  <c r="H43" i="5"/>
  <c r="H62" i="5"/>
  <c r="P43" i="5"/>
  <c r="P62" i="5"/>
  <c r="AC43" i="5"/>
  <c r="AC62" i="5"/>
  <c r="AM43" i="5"/>
  <c r="S43" i="5"/>
  <c r="CB43" i="5"/>
  <c r="AN46" i="5"/>
  <c r="Y46" i="5"/>
  <c r="I49" i="5"/>
  <c r="Q49" i="5"/>
  <c r="AN49" i="5"/>
  <c r="AN64" i="5"/>
  <c r="BE49" i="5"/>
  <c r="BM49" i="5"/>
  <c r="BU49" i="5"/>
  <c r="CC49" i="5"/>
  <c r="Z49" i="5"/>
  <c r="CB60" i="5"/>
  <c r="AN37" i="5"/>
  <c r="BE37" i="5"/>
  <c r="BE60" i="5"/>
  <c r="BM37" i="5"/>
  <c r="BM60" i="5"/>
  <c r="BU37" i="5"/>
  <c r="BU60" i="5"/>
  <c r="CC37" i="5"/>
  <c r="CC60" i="5"/>
  <c r="U37" i="5"/>
  <c r="CD37" i="5"/>
  <c r="BB40" i="5"/>
  <c r="BB53" i="5"/>
  <c r="BJ40" i="5"/>
  <c r="BJ53" i="5"/>
  <c r="BR40" i="5"/>
  <c r="BR53" i="5"/>
  <c r="BZ40" i="5"/>
  <c r="BZ53" i="5"/>
  <c r="CH40" i="5"/>
  <c r="CH53" i="5"/>
  <c r="O40" i="5"/>
  <c r="O61" i="5"/>
  <c r="J40" i="5"/>
  <c r="I43" i="5"/>
  <c r="Q43" i="5"/>
  <c r="BE43" i="5"/>
  <c r="BM43" i="5"/>
  <c r="BU43" i="5"/>
  <c r="CC43" i="5"/>
  <c r="X43" i="5"/>
  <c r="R46" i="5"/>
  <c r="W46" i="5"/>
  <c r="AF46" i="5"/>
  <c r="BF46" i="5"/>
  <c r="BF63" i="5"/>
  <c r="BN46" i="5"/>
  <c r="BN63" i="5"/>
  <c r="BV46" i="5"/>
  <c r="BV63" i="5"/>
  <c r="CD46" i="5"/>
  <c r="CD63" i="5"/>
  <c r="AG46" i="5"/>
  <c r="J49" i="5"/>
  <c r="J64" i="5"/>
  <c r="R49" i="5"/>
  <c r="R64" i="5"/>
  <c r="W49" i="5"/>
  <c r="W64" i="5"/>
  <c r="AF49" i="5"/>
  <c r="AF64" i="5"/>
  <c r="AO49" i="5"/>
  <c r="AO64" i="5"/>
  <c r="BF49" i="5"/>
  <c r="BN49" i="5"/>
  <c r="AH49" i="5"/>
  <c r="BU62" i="5"/>
  <c r="W63" i="5"/>
  <c r="W37" i="5"/>
  <c r="W60" i="5"/>
  <c r="AF37" i="5"/>
  <c r="AF60" i="5"/>
  <c r="AO37" i="5"/>
  <c r="AO60" i="5"/>
  <c r="V37" i="5"/>
  <c r="AY37" i="5"/>
  <c r="CE37" i="5"/>
  <c r="H40" i="5"/>
  <c r="H61" i="5"/>
  <c r="P40" i="5"/>
  <c r="P61" i="5"/>
  <c r="BD40" i="5"/>
  <c r="BL40" i="5"/>
  <c r="BT40" i="5"/>
  <c r="CB40" i="5"/>
  <c r="R40" i="5"/>
  <c r="J43" i="5"/>
  <c r="J62" i="5"/>
  <c r="R43" i="5"/>
  <c r="R62" i="5"/>
  <c r="W43" i="5"/>
  <c r="W62" i="5"/>
  <c r="AO43" i="5"/>
  <c r="BF43" i="5"/>
  <c r="BF62" i="5"/>
  <c r="BN43" i="5"/>
  <c r="BN62" i="5"/>
  <c r="BV43" i="5"/>
  <c r="BV62" i="5"/>
  <c r="CD43" i="5"/>
  <c r="CD62" i="5"/>
  <c r="AF43" i="5"/>
  <c r="K46" i="5"/>
  <c r="K63" i="5"/>
  <c r="S46" i="5"/>
  <c r="S63" i="5"/>
  <c r="X46" i="5"/>
  <c r="X63" i="5"/>
  <c r="AP46" i="5"/>
  <c r="AP63" i="5"/>
  <c r="AY46" i="5"/>
  <c r="AY63" i="5"/>
  <c r="BG46" i="5"/>
  <c r="BG63" i="5"/>
  <c r="BO46" i="5"/>
  <c r="BO63" i="5"/>
  <c r="BW46" i="5"/>
  <c r="BW63" i="5"/>
  <c r="CE46" i="5"/>
  <c r="CE63" i="5"/>
  <c r="AO46" i="5"/>
  <c r="K49" i="5"/>
  <c r="K64" i="5"/>
  <c r="S49" i="5"/>
  <c r="S64" i="5"/>
  <c r="X49" i="5"/>
  <c r="X64" i="5"/>
  <c r="AG49" i="5"/>
  <c r="AG64" i="5"/>
  <c r="AP49" i="5"/>
  <c r="BD60" i="5"/>
  <c r="BT61" i="5"/>
  <c r="S37" i="5"/>
  <c r="S60" i="5"/>
  <c r="X37" i="5"/>
  <c r="X60" i="5"/>
  <c r="AG37" i="5"/>
  <c r="AG60" i="5"/>
  <c r="Z37" i="5"/>
  <c r="BF37" i="5"/>
  <c r="I40" i="5"/>
  <c r="Q40" i="5"/>
  <c r="Q61" i="5"/>
  <c r="AN40" i="5"/>
  <c r="BE40" i="5"/>
  <c r="BE61" i="5"/>
  <c r="BM40" i="5"/>
  <c r="BM61" i="5"/>
  <c r="BU40" i="5"/>
  <c r="BU61" i="5"/>
  <c r="CC40" i="5"/>
  <c r="CC61" i="5"/>
  <c r="AM40" i="5"/>
  <c r="AG43" i="5"/>
  <c r="AP43" i="5"/>
  <c r="AP62" i="5"/>
  <c r="AY43" i="5"/>
  <c r="AY62" i="5"/>
  <c r="BG43" i="5"/>
  <c r="BG62" i="5"/>
  <c r="BO43" i="5"/>
  <c r="BO62" i="5"/>
  <c r="BW43" i="5"/>
  <c r="BW62" i="5"/>
  <c r="CE43" i="5"/>
  <c r="CE62" i="5"/>
  <c r="AN43" i="5"/>
  <c r="AH46" i="5"/>
  <c r="AH63" i="5"/>
  <c r="AQ46" i="5"/>
  <c r="AQ63" i="5"/>
  <c r="AZ46" i="5"/>
  <c r="AZ63" i="5"/>
  <c r="BH46" i="5"/>
  <c r="BH63" i="5"/>
  <c r="BP46" i="5"/>
  <c r="BP63" i="5"/>
  <c r="BX46" i="5"/>
  <c r="BX63" i="5"/>
  <c r="CF46" i="5"/>
  <c r="CF63" i="5"/>
  <c r="L49" i="5"/>
  <c r="L64" i="5"/>
  <c r="T49" i="5"/>
  <c r="T64" i="5"/>
  <c r="Y49" i="5"/>
  <c r="Y64" i="5"/>
  <c r="AQ49" i="5"/>
  <c r="AQ64" i="5"/>
  <c r="CC62" i="5"/>
  <c r="AF63" i="5"/>
  <c r="I64" i="5"/>
  <c r="Y37" i="5"/>
  <c r="Y60" i="5"/>
  <c r="AZ37" i="5"/>
  <c r="AZ60" i="5"/>
  <c r="BH37" i="5"/>
  <c r="BH60" i="5"/>
  <c r="BP37" i="5"/>
  <c r="BP60" i="5"/>
  <c r="BX37" i="5"/>
  <c r="BX60" i="5"/>
  <c r="CF37" i="5"/>
  <c r="CF60" i="5"/>
  <c r="AA37" i="5"/>
  <c r="BG37" i="5"/>
  <c r="AF40" i="5"/>
  <c r="AO40" i="5"/>
  <c r="AO61" i="5"/>
  <c r="BF40" i="5"/>
  <c r="BN40" i="5"/>
  <c r="BV40" i="5"/>
  <c r="CD40" i="5"/>
  <c r="L43" i="5"/>
  <c r="L62" i="5"/>
  <c r="T43" i="5"/>
  <c r="T62" i="5"/>
  <c r="Y43" i="5"/>
  <c r="Y62" i="5"/>
  <c r="AH43" i="5"/>
  <c r="AH62" i="5"/>
  <c r="AQ43" i="5"/>
  <c r="AQ62" i="5"/>
  <c r="AZ43" i="5"/>
  <c r="AZ62" i="5"/>
  <c r="BH43" i="5"/>
  <c r="BH62" i="5"/>
  <c r="BP43" i="5"/>
  <c r="BP62" i="5"/>
  <c r="BX43" i="5"/>
  <c r="BX62" i="5"/>
  <c r="CF43" i="5"/>
  <c r="CF62" i="5"/>
  <c r="M46" i="5"/>
  <c r="M63" i="5"/>
  <c r="U46" i="5"/>
  <c r="U63" i="5"/>
  <c r="Z46" i="5"/>
  <c r="Z63" i="5"/>
  <c r="AI46" i="5"/>
  <c r="AI63" i="5"/>
  <c r="AR46" i="5"/>
  <c r="AR63" i="5"/>
  <c r="BA46" i="5"/>
  <c r="BA63" i="5"/>
  <c r="BI46" i="5"/>
  <c r="BI63" i="5"/>
  <c r="BQ46" i="5"/>
  <c r="BQ63" i="5"/>
  <c r="BY46" i="5"/>
  <c r="BY63" i="5"/>
  <c r="CG46" i="5"/>
  <c r="CG63" i="5"/>
  <c r="BE46" i="5"/>
  <c r="AI49" i="5"/>
  <c r="AI64" i="5"/>
  <c r="AR49" i="5"/>
  <c r="AR64" i="5"/>
  <c r="BL60" i="5"/>
  <c r="CB61" i="5"/>
  <c r="AR37" i="5"/>
  <c r="AR60" i="5"/>
  <c r="BA37" i="5"/>
  <c r="BA60" i="5"/>
  <c r="BI37" i="5"/>
  <c r="BI60" i="5"/>
  <c r="BQ37" i="5"/>
  <c r="BQ60" i="5"/>
  <c r="BY37" i="5"/>
  <c r="BY60" i="5"/>
  <c r="CG37" i="5"/>
  <c r="CG60" i="5"/>
  <c r="AH37" i="5"/>
  <c r="BN37" i="5"/>
  <c r="K40" i="5"/>
  <c r="S40" i="5"/>
  <c r="S61" i="5"/>
  <c r="X40" i="5"/>
  <c r="AG40" i="5"/>
  <c r="AG61" i="5"/>
  <c r="AP40" i="5"/>
  <c r="AY40" i="5"/>
  <c r="AY61" i="5"/>
  <c r="BG40" i="5"/>
  <c r="BG61" i="5"/>
  <c r="BO40" i="5"/>
  <c r="BO61" i="5"/>
  <c r="BW40" i="5"/>
  <c r="BW61" i="5"/>
  <c r="CE40" i="5"/>
  <c r="CE61" i="5"/>
  <c r="BC40" i="5"/>
  <c r="M43" i="5"/>
  <c r="M62" i="5"/>
  <c r="U43" i="5"/>
  <c r="U62" i="5"/>
  <c r="Z43" i="5"/>
  <c r="Z62" i="5"/>
  <c r="AI43" i="5"/>
  <c r="AI62" i="5"/>
  <c r="AR43" i="5"/>
  <c r="AR62" i="5"/>
  <c r="BA43" i="5"/>
  <c r="BA62" i="5"/>
  <c r="BI43" i="5"/>
  <c r="BI62" i="5"/>
  <c r="BQ43" i="5"/>
  <c r="BQ62" i="5"/>
  <c r="BY43" i="5"/>
  <c r="BY62" i="5"/>
  <c r="CG43" i="5"/>
  <c r="CG62" i="5"/>
  <c r="BD43" i="5"/>
  <c r="N46" i="5"/>
  <c r="N63" i="5"/>
  <c r="V46" i="5"/>
  <c r="V63" i="5"/>
  <c r="AA46" i="5"/>
  <c r="AA63" i="5"/>
  <c r="AJ46" i="5"/>
  <c r="AJ63" i="5"/>
  <c r="BB46" i="5"/>
  <c r="BJ46" i="5"/>
  <c r="BR46" i="5"/>
  <c r="BZ46" i="5"/>
  <c r="CH46" i="5"/>
  <c r="BM46" i="5"/>
  <c r="N49" i="5"/>
  <c r="N64" i="5"/>
  <c r="V49" i="5"/>
  <c r="V64" i="5"/>
  <c r="AA49" i="5"/>
  <c r="AA64" i="5"/>
  <c r="AJ49" i="5"/>
  <c r="AJ64" i="5"/>
  <c r="CD61" i="5"/>
  <c r="AG62" i="5"/>
  <c r="BE62" i="5"/>
  <c r="J63" i="5"/>
  <c r="Q64" i="5"/>
  <c r="AJ37" i="5"/>
  <c r="AJ60" i="5"/>
  <c r="BB37" i="5"/>
  <c r="BB60" i="5"/>
  <c r="BJ37" i="5"/>
  <c r="BJ60" i="5"/>
  <c r="BR37" i="5"/>
  <c r="BR60" i="5"/>
  <c r="BZ37" i="5"/>
  <c r="BZ60" i="5"/>
  <c r="CH37" i="5"/>
  <c r="CH60" i="5"/>
  <c r="AI37" i="5"/>
  <c r="BO37" i="5"/>
  <c r="L40" i="5"/>
  <c r="L61" i="5"/>
  <c r="T40" i="5"/>
  <c r="AH40" i="5"/>
  <c r="AQ40" i="5"/>
  <c r="AQ61" i="5"/>
  <c r="AZ40" i="5"/>
  <c r="AZ61" i="5"/>
  <c r="BH40" i="5"/>
  <c r="BH61" i="5"/>
  <c r="BP40" i="5"/>
  <c r="BP61" i="5"/>
  <c r="BX40" i="5"/>
  <c r="BX61" i="5"/>
  <c r="CF40" i="5"/>
  <c r="CF61" i="5"/>
  <c r="BK40" i="5"/>
  <c r="N43" i="5"/>
  <c r="N62" i="5"/>
  <c r="V43" i="5"/>
  <c r="V62" i="5"/>
  <c r="AA43" i="5"/>
  <c r="AA62" i="5"/>
  <c r="AJ43" i="5"/>
  <c r="AJ62" i="5"/>
  <c r="BB43" i="5"/>
  <c r="BB62" i="5"/>
  <c r="BJ43" i="5"/>
  <c r="BJ62" i="5"/>
  <c r="BR43" i="5"/>
  <c r="BR62" i="5"/>
  <c r="BZ43" i="5"/>
  <c r="BZ62" i="5"/>
  <c r="CH43" i="5"/>
  <c r="CH62" i="5"/>
  <c r="BL43" i="5"/>
  <c r="O46" i="5"/>
  <c r="O63" i="5"/>
  <c r="AB46" i="5"/>
  <c r="AB63" i="5"/>
  <c r="BC46" i="5"/>
  <c r="BC63" i="5"/>
  <c r="BK46" i="5"/>
  <c r="BK63" i="5"/>
  <c r="BS46" i="5"/>
  <c r="BS63" i="5"/>
  <c r="CA46" i="5"/>
  <c r="CA63" i="5"/>
  <c r="L46" i="5"/>
  <c r="BU46" i="5"/>
  <c r="O49" i="5"/>
  <c r="AB49" i="5"/>
  <c r="M49" i="5"/>
  <c r="AN60" i="5"/>
  <c r="BT60" i="5"/>
  <c r="AF61" i="5"/>
  <c r="BD61" i="5"/>
  <c r="I62" i="5"/>
  <c r="AN63" i="5"/>
  <c r="BR63" i="5"/>
  <c r="AM60" i="5"/>
  <c r="BC49" i="5"/>
  <c r="BK49" i="5"/>
  <c r="BS49" i="5"/>
  <c r="CA49" i="5"/>
  <c r="BV49" i="5"/>
  <c r="BE64" i="5"/>
  <c r="BM64" i="5"/>
  <c r="BU64" i="5"/>
  <c r="CC64" i="5"/>
  <c r="BD49" i="5"/>
  <c r="BL49" i="5"/>
  <c r="BT49" i="5"/>
  <c r="CB49" i="5"/>
  <c r="CD49" i="5"/>
  <c r="BF64" i="5"/>
  <c r="BN64" i="5"/>
  <c r="AY49" i="5"/>
  <c r="BG49" i="5"/>
  <c r="BO49" i="5"/>
  <c r="BW49" i="5"/>
  <c r="CE49" i="5"/>
  <c r="AZ49" i="5"/>
  <c r="BH49" i="5"/>
  <c r="BP49" i="5"/>
  <c r="BX49" i="5"/>
  <c r="CF49" i="5"/>
  <c r="BA49" i="5"/>
  <c r="BI49" i="5"/>
  <c r="BQ49" i="5"/>
  <c r="BY49" i="5"/>
  <c r="CG49" i="5"/>
  <c r="BC64" i="5"/>
  <c r="BK64" i="5"/>
  <c r="BS64" i="5"/>
  <c r="CA64" i="5"/>
  <c r="BB49" i="5"/>
  <c r="BJ49" i="5"/>
  <c r="BR49" i="5"/>
  <c r="BZ49" i="5"/>
  <c r="CH49" i="5"/>
  <c r="BD64" i="5"/>
  <c r="BL64" i="5"/>
  <c r="BT64" i="5"/>
  <c r="CB64" i="5"/>
  <c r="Z61" i="5"/>
  <c r="W34" i="5"/>
  <c r="Y34" i="5"/>
  <c r="AB40" i="5"/>
  <c r="AB61" i="5"/>
  <c r="AA59" i="5"/>
  <c r="AA61" i="5"/>
  <c r="X34" i="5"/>
  <c r="AC40" i="5"/>
  <c r="AC59" i="5"/>
  <c r="AC61" i="5"/>
  <c r="W40" i="5"/>
  <c r="W59" i="5"/>
  <c r="X61" i="5"/>
  <c r="AB34" i="5"/>
  <c r="Y40" i="5"/>
  <c r="Y61" i="5"/>
  <c r="M61" i="5"/>
  <c r="M34" i="5"/>
  <c r="I46" i="5"/>
  <c r="Q46" i="5"/>
  <c r="J37" i="5"/>
  <c r="R37" i="5"/>
  <c r="K48" i="6" l="1"/>
  <c r="J48" i="6"/>
  <c r="I48" i="6"/>
  <c r="I49" i="6" s="1"/>
  <c r="H48" i="6"/>
  <c r="H49" i="6" s="1"/>
  <c r="G48" i="6"/>
  <c r="G49" i="6" s="1"/>
  <c r="K47" i="6"/>
  <c r="K49" i="6" s="1"/>
  <c r="J47" i="6"/>
  <c r="J49" i="6" s="1"/>
  <c r="I47" i="6"/>
  <c r="H47" i="6"/>
  <c r="G47" i="6"/>
  <c r="K46" i="6"/>
  <c r="J46" i="6"/>
  <c r="I45" i="6"/>
  <c r="H45" i="6"/>
  <c r="G45" i="6"/>
  <c r="K44" i="6"/>
  <c r="J44" i="6"/>
  <c r="I44" i="6"/>
  <c r="H44" i="6"/>
  <c r="H46" i="6" s="1"/>
  <c r="G44" i="6"/>
  <c r="G46" i="6" s="1"/>
  <c r="K42" i="6"/>
  <c r="J42" i="6"/>
  <c r="I42" i="6"/>
  <c r="I43" i="6" s="1"/>
  <c r="H42" i="6"/>
  <c r="G42" i="6"/>
  <c r="G43" i="6" s="1"/>
  <c r="K41" i="6"/>
  <c r="K43" i="6" s="1"/>
  <c r="J41" i="6"/>
  <c r="J43" i="6" s="1"/>
  <c r="I41" i="6"/>
  <c r="H41" i="6"/>
  <c r="G41" i="6"/>
  <c r="K39" i="6"/>
  <c r="K40" i="6" s="1"/>
  <c r="J39" i="6"/>
  <c r="J40" i="6" s="1"/>
  <c r="I39" i="6"/>
  <c r="H39" i="6"/>
  <c r="H40" i="6" s="1"/>
  <c r="G39" i="6"/>
  <c r="K38" i="6"/>
  <c r="J38" i="6"/>
  <c r="I38" i="6"/>
  <c r="H38" i="6"/>
  <c r="G38" i="6"/>
  <c r="G40" i="6" s="1"/>
  <c r="K36" i="6"/>
  <c r="J36" i="6"/>
  <c r="I36" i="6"/>
  <c r="H36" i="6"/>
  <c r="G36" i="6"/>
  <c r="K35" i="6"/>
  <c r="J35" i="6"/>
  <c r="J37" i="6" s="1"/>
  <c r="I35" i="6"/>
  <c r="H35" i="6"/>
  <c r="H37" i="6" s="1"/>
  <c r="G35" i="6"/>
  <c r="K33" i="6"/>
  <c r="J33" i="6"/>
  <c r="I33" i="6"/>
  <c r="H33" i="6"/>
  <c r="G33" i="6"/>
  <c r="K32" i="6"/>
  <c r="J32" i="6"/>
  <c r="I32" i="6"/>
  <c r="I34" i="6" s="1"/>
  <c r="H32" i="6"/>
  <c r="H34" i="6" s="1"/>
  <c r="G32" i="6"/>
  <c r="I46" i="6" l="1"/>
  <c r="K37" i="6"/>
  <c r="H43" i="6"/>
  <c r="G37" i="6"/>
  <c r="I40" i="6"/>
  <c r="G34" i="6"/>
  <c r="J34" i="6"/>
  <c r="K34" i="6"/>
  <c r="I37" i="6"/>
  <c r="G50" i="3"/>
  <c r="G48" i="3"/>
  <c r="G64" i="3" s="1"/>
  <c r="G56" i="3"/>
  <c r="G46" i="3"/>
  <c r="G55" i="3"/>
  <c r="G62" i="3"/>
  <c r="G54" i="3"/>
  <c r="G61" i="3"/>
  <c r="G53" i="3"/>
  <c r="G52" i="3"/>
  <c r="G59" i="3"/>
  <c r="G51" i="3"/>
  <c r="G31" i="3"/>
  <c r="F64" i="3"/>
  <c r="F63" i="3"/>
  <c r="F62" i="3"/>
  <c r="F61" i="3"/>
  <c r="F60" i="3"/>
  <c r="F59" i="3"/>
  <c r="W50" i="3"/>
  <c r="W56" i="3"/>
  <c r="W63" i="3"/>
  <c r="W55" i="3"/>
  <c r="W62" i="3"/>
  <c r="W54" i="3"/>
  <c r="W61" i="3"/>
  <c r="W53" i="3"/>
  <c r="V60" i="3"/>
  <c r="V50" i="3"/>
  <c r="V64" i="3"/>
  <c r="V55" i="3"/>
  <c r="V62" i="3"/>
  <c r="V54" i="3"/>
  <c r="V61" i="3"/>
  <c r="V53" i="3"/>
  <c r="U50" i="3"/>
  <c r="U64" i="3"/>
  <c r="U56" i="3"/>
  <c r="U55" i="3"/>
  <c r="U54" i="3"/>
  <c r="U53" i="3"/>
  <c r="W60" i="3"/>
  <c r="W52" i="3"/>
  <c r="V52" i="3"/>
  <c r="U52" i="3"/>
  <c r="W51" i="3"/>
  <c r="V51" i="3"/>
  <c r="U51" i="3"/>
  <c r="U60" i="3" l="1"/>
  <c r="W64" i="3"/>
  <c r="G37" i="3"/>
  <c r="U59" i="3"/>
  <c r="V59" i="3"/>
  <c r="W59" i="3"/>
  <c r="G60" i="3"/>
  <c r="G49" i="3"/>
  <c r="G40" i="3"/>
  <c r="G34" i="3"/>
  <c r="G43" i="3"/>
  <c r="G63" i="3"/>
  <c r="V56" i="3"/>
  <c r="V63" i="3"/>
  <c r="U61" i="3"/>
  <c r="U62" i="3"/>
  <c r="U63" i="3"/>
  <c r="O31" i="6" l="1"/>
  <c r="BM50" i="6"/>
  <c r="BL50" i="6"/>
  <c r="BK50" i="6"/>
  <c r="BJ50" i="6"/>
  <c r="BI50" i="6"/>
  <c r="BH50" i="6"/>
  <c r="BG50" i="6"/>
  <c r="BF50" i="6"/>
  <c r="BE50" i="6"/>
  <c r="BD50" i="6"/>
  <c r="BC50" i="6"/>
  <c r="BB50" i="6"/>
  <c r="BA50" i="6"/>
  <c r="AZ50" i="6"/>
  <c r="AY50" i="6"/>
  <c r="AX50" i="6"/>
  <c r="AW50" i="6"/>
  <c r="AV50" i="6"/>
  <c r="AU50" i="6"/>
  <c r="AT50" i="6"/>
  <c r="AS50" i="6"/>
  <c r="AR50" i="6"/>
  <c r="AQ50" i="6"/>
  <c r="AP50" i="6"/>
  <c r="AO50" i="6"/>
  <c r="AN50" i="6"/>
  <c r="AM50" i="6"/>
  <c r="AL50" i="6"/>
  <c r="AK50" i="6"/>
  <c r="AJ50" i="6"/>
  <c r="AI50" i="6"/>
  <c r="AH50" i="6"/>
  <c r="AG50" i="6"/>
  <c r="AF50" i="6"/>
  <c r="AE50" i="6"/>
  <c r="AD50" i="6"/>
  <c r="BM31" i="6"/>
  <c r="BL31" i="6"/>
  <c r="BK31" i="6"/>
  <c r="BJ31" i="6"/>
  <c r="BI31" i="6"/>
  <c r="BH31" i="6"/>
  <c r="BG31" i="6"/>
  <c r="BF31" i="6"/>
  <c r="BE31" i="6"/>
  <c r="BD31" i="6"/>
  <c r="BC31" i="6"/>
  <c r="BB31" i="6"/>
  <c r="BA31" i="6"/>
  <c r="AZ31" i="6"/>
  <c r="AY31" i="6"/>
  <c r="AX31" i="6"/>
  <c r="AW31" i="6"/>
  <c r="AV31" i="6"/>
  <c r="AU31" i="6"/>
  <c r="AT31" i="6"/>
  <c r="AS31" i="6"/>
  <c r="AR31" i="6"/>
  <c r="AQ31" i="6"/>
  <c r="AP31" i="6"/>
  <c r="AO31" i="6"/>
  <c r="AN31" i="6"/>
  <c r="AM31" i="6"/>
  <c r="AL31" i="6"/>
  <c r="AK31" i="6"/>
  <c r="AJ31" i="6"/>
  <c r="AI31" i="6"/>
  <c r="AH31" i="6"/>
  <c r="AG31" i="6"/>
  <c r="AF31" i="6"/>
  <c r="AE31" i="6"/>
  <c r="AD31" i="6"/>
  <c r="AC50" i="6"/>
  <c r="AC31" i="6"/>
  <c r="AB50" i="6"/>
  <c r="AB31" i="6"/>
  <c r="AA50" i="6"/>
  <c r="AA31" i="6"/>
  <c r="Z50" i="6"/>
  <c r="Z31" i="6"/>
  <c r="Y50" i="6"/>
  <c r="Y31" i="6"/>
  <c r="X50" i="6"/>
  <c r="X31" i="6"/>
  <c r="W50" i="6"/>
  <c r="W31" i="6"/>
  <c r="V50" i="6"/>
  <c r="V31" i="6"/>
  <c r="U50" i="6"/>
  <c r="U31" i="6"/>
  <c r="T50" i="6"/>
  <c r="T31" i="6"/>
  <c r="S50" i="6"/>
  <c r="S31" i="6"/>
  <c r="R50" i="6"/>
  <c r="R31" i="6"/>
  <c r="Q50" i="6"/>
  <c r="Q31" i="6"/>
  <c r="P50" i="6"/>
  <c r="P31" i="6"/>
  <c r="O50" i="6"/>
  <c r="N50" i="6"/>
  <c r="N31" i="6"/>
  <c r="M50" i="6"/>
  <c r="M31" i="6"/>
  <c r="L50" i="6"/>
  <c r="L31" i="6"/>
  <c r="K50" i="6"/>
  <c r="K64" i="6"/>
  <c r="K56" i="6"/>
  <c r="K55" i="6"/>
  <c r="K62" i="6"/>
  <c r="K54" i="6"/>
  <c r="K61" i="6"/>
  <c r="K53" i="6"/>
  <c r="K60" i="6"/>
  <c r="K52" i="6"/>
  <c r="K51" i="6"/>
  <c r="K31" i="6"/>
  <c r="J50" i="6"/>
  <c r="J64" i="6"/>
  <c r="J56" i="6"/>
  <c r="J55" i="6"/>
  <c r="J62" i="6"/>
  <c r="J54" i="6"/>
  <c r="J61" i="6"/>
  <c r="J53" i="6"/>
  <c r="J52" i="6"/>
  <c r="J51" i="6"/>
  <c r="J31" i="6"/>
  <c r="I50" i="6"/>
  <c r="I64" i="6"/>
  <c r="I56" i="6"/>
  <c r="I55" i="6"/>
  <c r="I62" i="6"/>
  <c r="I54" i="6"/>
  <c r="I61" i="6"/>
  <c r="I53" i="6"/>
  <c r="I52" i="6"/>
  <c r="I59" i="6"/>
  <c r="I51" i="6"/>
  <c r="I31" i="6"/>
  <c r="H50" i="6"/>
  <c r="H64" i="6"/>
  <c r="H56" i="6"/>
  <c r="H55" i="6"/>
  <c r="H62" i="6"/>
  <c r="H54" i="6"/>
  <c r="H61" i="6"/>
  <c r="H53" i="6"/>
  <c r="H52" i="6"/>
  <c r="H51" i="6"/>
  <c r="H31" i="6"/>
  <c r="G50" i="6"/>
  <c r="G64" i="6"/>
  <c r="G55" i="6"/>
  <c r="G62" i="6"/>
  <c r="G54" i="6"/>
  <c r="G61" i="6"/>
  <c r="G53" i="6"/>
  <c r="G51" i="6"/>
  <c r="G31" i="6"/>
  <c r="J60" i="6" l="1"/>
  <c r="G60" i="6"/>
  <c r="G52" i="6"/>
  <c r="I60" i="6"/>
  <c r="K59" i="6"/>
  <c r="K63" i="6"/>
  <c r="J59" i="6"/>
  <c r="J63" i="6"/>
  <c r="I63" i="6"/>
  <c r="H59" i="6"/>
  <c r="H60" i="6"/>
  <c r="H63" i="6"/>
  <c r="G56" i="6"/>
  <c r="G59" i="6"/>
  <c r="G63" i="6"/>
  <c r="E26" i="18" l="1"/>
  <c r="C26" i="18"/>
  <c r="B26" i="18"/>
  <c r="E25" i="18"/>
  <c r="C25" i="18"/>
  <c r="B25" i="18"/>
  <c r="E24" i="18"/>
  <c r="C24" i="18"/>
  <c r="B24" i="18"/>
  <c r="E23" i="18"/>
  <c r="C23" i="18"/>
  <c r="B23" i="18"/>
  <c r="E22" i="18"/>
  <c r="C22" i="18"/>
  <c r="B22" i="18"/>
  <c r="E21" i="18"/>
  <c r="C21" i="18"/>
  <c r="B21" i="18"/>
  <c r="E20" i="18"/>
  <c r="C20" i="18"/>
  <c r="B20" i="18"/>
  <c r="E19" i="18"/>
  <c r="C19" i="18"/>
  <c r="B19" i="18"/>
  <c r="E18" i="18"/>
  <c r="C18" i="18"/>
  <c r="B18" i="18"/>
  <c r="E17" i="18"/>
  <c r="C17" i="18"/>
  <c r="B17" i="18"/>
  <c r="E16" i="18"/>
  <c r="C16" i="18"/>
  <c r="B16" i="18"/>
  <c r="E15" i="18"/>
  <c r="C15" i="18"/>
  <c r="B15" i="18"/>
  <c r="E14" i="18"/>
  <c r="C14" i="18"/>
  <c r="B14" i="18"/>
  <c r="E13" i="18"/>
  <c r="C13" i="18"/>
  <c r="B13" i="18"/>
  <c r="E12" i="18"/>
  <c r="C12" i="18"/>
  <c r="B12" i="18"/>
  <c r="E11" i="18"/>
  <c r="C11" i="18"/>
  <c r="B11" i="18"/>
  <c r="E10" i="18"/>
  <c r="C10" i="18"/>
  <c r="B10" i="18"/>
  <c r="E9" i="18"/>
  <c r="C9" i="18"/>
  <c r="B9" i="18"/>
  <c r="E8" i="18"/>
  <c r="C8" i="18"/>
  <c r="B8" i="18"/>
  <c r="E7" i="18"/>
  <c r="C7" i="18"/>
  <c r="B7" i="18"/>
  <c r="E6" i="18"/>
  <c r="C6" i="18"/>
  <c r="B6" i="18"/>
  <c r="E5" i="18"/>
  <c r="C5" i="18"/>
  <c r="B5" i="18"/>
  <c r="F5" i="22" l="1"/>
  <c r="G5" i="22"/>
  <c r="H5" i="22"/>
  <c r="I5" i="22"/>
  <c r="J5" i="22"/>
  <c r="Z5" i="22"/>
  <c r="K5" i="22"/>
  <c r="E5" i="22"/>
  <c r="Y5" i="22"/>
  <c r="L5" i="22"/>
  <c r="X5" i="22"/>
  <c r="M5" i="22"/>
  <c r="W5" i="22"/>
  <c r="N5" i="22"/>
  <c r="V5" i="22"/>
  <c r="O5" i="22"/>
  <c r="T5" i="22"/>
  <c r="U5" i="22"/>
  <c r="P5" i="22"/>
  <c r="Q5" i="22"/>
  <c r="R5" i="22"/>
  <c r="F4" i="29" s="1"/>
  <c r="S5" i="22"/>
  <c r="R23" i="6"/>
  <c r="R15" i="6"/>
  <c r="R21" i="6"/>
  <c r="R24" i="6"/>
  <c r="R22" i="6"/>
  <c r="R20" i="6"/>
  <c r="R19" i="6"/>
  <c r="R18" i="6"/>
  <c r="R17" i="6"/>
  <c r="R16" i="6"/>
  <c r="R7" i="6"/>
  <c r="R4" i="6"/>
  <c r="R14" i="6"/>
  <c r="R6" i="6"/>
  <c r="R13" i="6"/>
  <c r="R5" i="6"/>
  <c r="R12" i="6"/>
  <c r="R11" i="6"/>
  <c r="R3" i="6"/>
  <c r="R8" i="6"/>
  <c r="R10" i="6"/>
  <c r="R9" i="6"/>
  <c r="H25" i="14"/>
  <c r="H24" i="14"/>
  <c r="H23" i="14"/>
  <c r="H22" i="14"/>
  <c r="H21" i="14"/>
  <c r="H20" i="14"/>
  <c r="H19" i="14"/>
  <c r="H18" i="14"/>
  <c r="H17" i="14"/>
  <c r="H16" i="14"/>
  <c r="H15" i="14"/>
  <c r="H14" i="14"/>
  <c r="H13" i="14"/>
  <c r="H12" i="14"/>
  <c r="H11" i="14"/>
  <c r="H10" i="14"/>
  <c r="H9" i="14"/>
  <c r="H8" i="14"/>
  <c r="H7" i="14"/>
  <c r="H6" i="14"/>
  <c r="H5" i="14"/>
  <c r="H4" i="14"/>
  <c r="H3" i="14"/>
  <c r="H2" i="14"/>
  <c r="AV25" i="14"/>
  <c r="CU25" i="14" s="1"/>
  <c r="AU25" i="14"/>
  <c r="CT25" i="14" s="1"/>
  <c r="AT25" i="14"/>
  <c r="CS25" i="14" s="1"/>
  <c r="AS25" i="14"/>
  <c r="CR25" i="14" s="1"/>
  <c r="AR25" i="14"/>
  <c r="CQ25" i="14" s="1"/>
  <c r="AQ25" i="14"/>
  <c r="CP25" i="14" s="1"/>
  <c r="AP25" i="14"/>
  <c r="CO25" i="14" s="1"/>
  <c r="AO25" i="14"/>
  <c r="CN25" i="14" s="1"/>
  <c r="AN25" i="14"/>
  <c r="CM25" i="14" s="1"/>
  <c r="AM25" i="14"/>
  <c r="CL25" i="14" s="1"/>
  <c r="AL25" i="14"/>
  <c r="CK25" i="14" s="1"/>
  <c r="AK25" i="14"/>
  <c r="CJ25" i="14" s="1"/>
  <c r="AJ25" i="14"/>
  <c r="CI25" i="14" s="1"/>
  <c r="AI25" i="14"/>
  <c r="CH25" i="14" s="1"/>
  <c r="AH25" i="14"/>
  <c r="CG25" i="14" s="1"/>
  <c r="AG25" i="14"/>
  <c r="CF25" i="14" s="1"/>
  <c r="AF25" i="14"/>
  <c r="CE25" i="14" s="1"/>
  <c r="AE25" i="14"/>
  <c r="CD25" i="14" s="1"/>
  <c r="AD25" i="14"/>
  <c r="CC25" i="14" s="1"/>
  <c r="AC25" i="14"/>
  <c r="CB25" i="14" s="1"/>
  <c r="AB25" i="14"/>
  <c r="CA25" i="14" s="1"/>
  <c r="AA25" i="14"/>
  <c r="BZ25" i="14" s="1"/>
  <c r="Z25" i="14"/>
  <c r="BY25" i="14" s="1"/>
  <c r="Y25" i="14"/>
  <c r="BX25" i="14" s="1"/>
  <c r="X25" i="14"/>
  <c r="BW25" i="14" s="1"/>
  <c r="W25" i="14"/>
  <c r="BV25" i="14" s="1"/>
  <c r="V25" i="14"/>
  <c r="BU25" i="14" s="1"/>
  <c r="U25" i="14"/>
  <c r="BT25" i="14" s="1"/>
  <c r="T25" i="14"/>
  <c r="BS25" i="14" s="1"/>
  <c r="S25" i="14"/>
  <c r="BR25" i="14" s="1"/>
  <c r="R25" i="14"/>
  <c r="BQ25" i="14" s="1"/>
  <c r="Q25" i="14"/>
  <c r="BP25" i="14" s="1"/>
  <c r="P25" i="14"/>
  <c r="BO25" i="14" s="1"/>
  <c r="O25" i="14"/>
  <c r="BN25" i="14" s="1"/>
  <c r="N25" i="14"/>
  <c r="BM25" i="14" s="1"/>
  <c r="M25" i="14"/>
  <c r="BL25" i="14" s="1"/>
  <c r="L25" i="14"/>
  <c r="BK25" i="14" s="1"/>
  <c r="K25" i="14"/>
  <c r="BJ25" i="14" s="1"/>
  <c r="AV24" i="14"/>
  <c r="CU24" i="14" s="1"/>
  <c r="AU24" i="14"/>
  <c r="CT24" i="14" s="1"/>
  <c r="AT24" i="14"/>
  <c r="CS24" i="14" s="1"/>
  <c r="AS24" i="14"/>
  <c r="CR24" i="14" s="1"/>
  <c r="AR24" i="14"/>
  <c r="CQ24" i="14" s="1"/>
  <c r="AQ24" i="14"/>
  <c r="CP24" i="14" s="1"/>
  <c r="AP24" i="14"/>
  <c r="CO24" i="14" s="1"/>
  <c r="AO24" i="14"/>
  <c r="CN24" i="14" s="1"/>
  <c r="AN24" i="14"/>
  <c r="CM24" i="14" s="1"/>
  <c r="AM24" i="14"/>
  <c r="CL24" i="14" s="1"/>
  <c r="AL24" i="14"/>
  <c r="CK24" i="14" s="1"/>
  <c r="AK24" i="14"/>
  <c r="CJ24" i="14" s="1"/>
  <c r="AJ24" i="14"/>
  <c r="CI24" i="14" s="1"/>
  <c r="AI24" i="14"/>
  <c r="CH24" i="14" s="1"/>
  <c r="AH24" i="14"/>
  <c r="CG24" i="14" s="1"/>
  <c r="AG24" i="14"/>
  <c r="CF24" i="14" s="1"/>
  <c r="AF24" i="14"/>
  <c r="CE24" i="14" s="1"/>
  <c r="AE24" i="14"/>
  <c r="CD24" i="14" s="1"/>
  <c r="AD24" i="14"/>
  <c r="CC24" i="14" s="1"/>
  <c r="AC24" i="14"/>
  <c r="CB24" i="14" s="1"/>
  <c r="AB24" i="14"/>
  <c r="CA24" i="14" s="1"/>
  <c r="AA24" i="14"/>
  <c r="BZ24" i="14" s="1"/>
  <c r="Z24" i="14"/>
  <c r="BY24" i="14" s="1"/>
  <c r="Y24" i="14"/>
  <c r="BX24" i="14" s="1"/>
  <c r="X24" i="14"/>
  <c r="BW24" i="14" s="1"/>
  <c r="W24" i="14"/>
  <c r="BV24" i="14" s="1"/>
  <c r="V24" i="14"/>
  <c r="BU24" i="14" s="1"/>
  <c r="U24" i="14"/>
  <c r="BT24" i="14" s="1"/>
  <c r="T24" i="14"/>
  <c r="BS24" i="14" s="1"/>
  <c r="S24" i="14"/>
  <c r="BR24" i="14" s="1"/>
  <c r="R24" i="14"/>
  <c r="BQ24" i="14" s="1"/>
  <c r="Q24" i="14"/>
  <c r="BP24" i="14" s="1"/>
  <c r="P24" i="14"/>
  <c r="BO24" i="14" s="1"/>
  <c r="O24" i="14"/>
  <c r="BN24" i="14" s="1"/>
  <c r="N24" i="14"/>
  <c r="BM24" i="14" s="1"/>
  <c r="M24" i="14"/>
  <c r="BL24" i="14" s="1"/>
  <c r="L24" i="14"/>
  <c r="BK24" i="14" s="1"/>
  <c r="K24" i="14"/>
  <c r="BJ24" i="14" s="1"/>
  <c r="AV23" i="14"/>
  <c r="CU23" i="14" s="1"/>
  <c r="AU23" i="14"/>
  <c r="CT23" i="14" s="1"/>
  <c r="AT23" i="14"/>
  <c r="CS23" i="14" s="1"/>
  <c r="AS23" i="14"/>
  <c r="CR23" i="14" s="1"/>
  <c r="AR23" i="14"/>
  <c r="CQ23" i="14" s="1"/>
  <c r="AQ23" i="14"/>
  <c r="CP23" i="14" s="1"/>
  <c r="AP23" i="14"/>
  <c r="CO23" i="14" s="1"/>
  <c r="AO23" i="14"/>
  <c r="CN23" i="14" s="1"/>
  <c r="AN23" i="14"/>
  <c r="CM23" i="14" s="1"/>
  <c r="AM23" i="14"/>
  <c r="CL23" i="14" s="1"/>
  <c r="AL23" i="14"/>
  <c r="CK23" i="14" s="1"/>
  <c r="AK23" i="14"/>
  <c r="CJ23" i="14" s="1"/>
  <c r="AJ23" i="14"/>
  <c r="CI23" i="14" s="1"/>
  <c r="AI23" i="14"/>
  <c r="CH23" i="14" s="1"/>
  <c r="AH23" i="14"/>
  <c r="CG23" i="14" s="1"/>
  <c r="AG23" i="14"/>
  <c r="CF23" i="14" s="1"/>
  <c r="AF23" i="14"/>
  <c r="CE23" i="14" s="1"/>
  <c r="AE23" i="14"/>
  <c r="CD23" i="14" s="1"/>
  <c r="AD23" i="14"/>
  <c r="CC23" i="14" s="1"/>
  <c r="AC23" i="14"/>
  <c r="CB23" i="14" s="1"/>
  <c r="AB23" i="14"/>
  <c r="CA23" i="14" s="1"/>
  <c r="AA23" i="14"/>
  <c r="BZ23" i="14" s="1"/>
  <c r="Z23" i="14"/>
  <c r="BY23" i="14" s="1"/>
  <c r="Y23" i="14"/>
  <c r="BX23" i="14" s="1"/>
  <c r="X23" i="14"/>
  <c r="BW23" i="14" s="1"/>
  <c r="W23" i="14"/>
  <c r="BV23" i="14" s="1"/>
  <c r="V23" i="14"/>
  <c r="BU23" i="14" s="1"/>
  <c r="U23" i="14"/>
  <c r="BT23" i="14" s="1"/>
  <c r="T23" i="14"/>
  <c r="BS23" i="14" s="1"/>
  <c r="S23" i="14"/>
  <c r="BR23" i="14" s="1"/>
  <c r="R23" i="14"/>
  <c r="BQ23" i="14" s="1"/>
  <c r="Q23" i="14"/>
  <c r="BP23" i="14" s="1"/>
  <c r="P23" i="14"/>
  <c r="BO23" i="14" s="1"/>
  <c r="O23" i="14"/>
  <c r="BN23" i="14" s="1"/>
  <c r="N23" i="14"/>
  <c r="BM23" i="14" s="1"/>
  <c r="M23" i="14"/>
  <c r="BL23" i="14" s="1"/>
  <c r="L23" i="14"/>
  <c r="BK23" i="14" s="1"/>
  <c r="K23" i="14"/>
  <c r="BJ23" i="14" s="1"/>
  <c r="AV22" i="14"/>
  <c r="CU22" i="14" s="1"/>
  <c r="AU22" i="14"/>
  <c r="CT22" i="14" s="1"/>
  <c r="AT22" i="14"/>
  <c r="CS22" i="14" s="1"/>
  <c r="AS22" i="14"/>
  <c r="CR22" i="14" s="1"/>
  <c r="AR22" i="14"/>
  <c r="CQ22" i="14" s="1"/>
  <c r="AQ22" i="14"/>
  <c r="CP22" i="14" s="1"/>
  <c r="AP22" i="14"/>
  <c r="CO22" i="14" s="1"/>
  <c r="AO22" i="14"/>
  <c r="CN22" i="14" s="1"/>
  <c r="AN22" i="14"/>
  <c r="CM22" i="14" s="1"/>
  <c r="AM22" i="14"/>
  <c r="CL22" i="14" s="1"/>
  <c r="AL22" i="14"/>
  <c r="CK22" i="14" s="1"/>
  <c r="AK22" i="14"/>
  <c r="CJ22" i="14" s="1"/>
  <c r="AJ22" i="14"/>
  <c r="CI22" i="14" s="1"/>
  <c r="AI22" i="14"/>
  <c r="CH22" i="14" s="1"/>
  <c r="AH22" i="14"/>
  <c r="CG22" i="14" s="1"/>
  <c r="AG22" i="14"/>
  <c r="CF22" i="14" s="1"/>
  <c r="AF22" i="14"/>
  <c r="CE22" i="14" s="1"/>
  <c r="AE22" i="14"/>
  <c r="CD22" i="14" s="1"/>
  <c r="AD22" i="14"/>
  <c r="CC22" i="14" s="1"/>
  <c r="AC22" i="14"/>
  <c r="CB22" i="14" s="1"/>
  <c r="AB22" i="14"/>
  <c r="CA22" i="14" s="1"/>
  <c r="AA22" i="14"/>
  <c r="BZ22" i="14" s="1"/>
  <c r="Z22" i="14"/>
  <c r="BY22" i="14" s="1"/>
  <c r="Y22" i="14"/>
  <c r="BX22" i="14" s="1"/>
  <c r="X22" i="14"/>
  <c r="BW22" i="14" s="1"/>
  <c r="W22" i="14"/>
  <c r="BV22" i="14" s="1"/>
  <c r="V22" i="14"/>
  <c r="BU22" i="14" s="1"/>
  <c r="U22" i="14"/>
  <c r="BT22" i="14" s="1"/>
  <c r="T22" i="14"/>
  <c r="BS22" i="14" s="1"/>
  <c r="S22" i="14"/>
  <c r="BR22" i="14" s="1"/>
  <c r="R22" i="14"/>
  <c r="BQ22" i="14" s="1"/>
  <c r="Q22" i="14"/>
  <c r="BP22" i="14" s="1"/>
  <c r="P22" i="14"/>
  <c r="BO22" i="14" s="1"/>
  <c r="O22" i="14"/>
  <c r="BN22" i="14" s="1"/>
  <c r="N22" i="14"/>
  <c r="BM22" i="14" s="1"/>
  <c r="M22" i="14"/>
  <c r="BL22" i="14" s="1"/>
  <c r="L22" i="14"/>
  <c r="BK22" i="14" s="1"/>
  <c r="K22" i="14"/>
  <c r="BJ22" i="14" s="1"/>
  <c r="AV21" i="14"/>
  <c r="CU21" i="14" s="1"/>
  <c r="AU21" i="14"/>
  <c r="CT21" i="14" s="1"/>
  <c r="AT21" i="14"/>
  <c r="CS21" i="14" s="1"/>
  <c r="AS21" i="14"/>
  <c r="CR21" i="14" s="1"/>
  <c r="AR21" i="14"/>
  <c r="CQ21" i="14" s="1"/>
  <c r="AQ21" i="14"/>
  <c r="CP21" i="14" s="1"/>
  <c r="AP21" i="14"/>
  <c r="CO21" i="14" s="1"/>
  <c r="AO21" i="14"/>
  <c r="CN21" i="14" s="1"/>
  <c r="AN21" i="14"/>
  <c r="CM21" i="14" s="1"/>
  <c r="AM21" i="14"/>
  <c r="CL21" i="14" s="1"/>
  <c r="AL21" i="14"/>
  <c r="CK21" i="14" s="1"/>
  <c r="AK21" i="14"/>
  <c r="CJ21" i="14" s="1"/>
  <c r="AJ21" i="14"/>
  <c r="CI21" i="14" s="1"/>
  <c r="AI21" i="14"/>
  <c r="CH21" i="14" s="1"/>
  <c r="AH21" i="14"/>
  <c r="CG21" i="14" s="1"/>
  <c r="AG21" i="14"/>
  <c r="CF21" i="14" s="1"/>
  <c r="AF21" i="14"/>
  <c r="CE21" i="14" s="1"/>
  <c r="AE21" i="14"/>
  <c r="CD21" i="14" s="1"/>
  <c r="AD21" i="14"/>
  <c r="CC21" i="14" s="1"/>
  <c r="AC21" i="14"/>
  <c r="CB21" i="14" s="1"/>
  <c r="AB21" i="14"/>
  <c r="CA21" i="14" s="1"/>
  <c r="AA21" i="14"/>
  <c r="BZ21" i="14" s="1"/>
  <c r="Z21" i="14"/>
  <c r="BY21" i="14" s="1"/>
  <c r="Y21" i="14"/>
  <c r="BX21" i="14" s="1"/>
  <c r="X21" i="14"/>
  <c r="BW21" i="14" s="1"/>
  <c r="W21" i="14"/>
  <c r="BV21" i="14" s="1"/>
  <c r="V21" i="14"/>
  <c r="BU21" i="14" s="1"/>
  <c r="U21" i="14"/>
  <c r="BT21" i="14" s="1"/>
  <c r="T21" i="14"/>
  <c r="BS21" i="14" s="1"/>
  <c r="S21" i="14"/>
  <c r="BR21" i="14" s="1"/>
  <c r="R21" i="14"/>
  <c r="BQ21" i="14" s="1"/>
  <c r="Q21" i="14"/>
  <c r="BP21" i="14" s="1"/>
  <c r="P21" i="14"/>
  <c r="BO21" i="14" s="1"/>
  <c r="O21" i="14"/>
  <c r="BN21" i="14" s="1"/>
  <c r="N21" i="14"/>
  <c r="BM21" i="14" s="1"/>
  <c r="M21" i="14"/>
  <c r="BL21" i="14" s="1"/>
  <c r="L21" i="14"/>
  <c r="BK21" i="14" s="1"/>
  <c r="K21" i="14"/>
  <c r="BJ21" i="14" s="1"/>
  <c r="AV20" i="14"/>
  <c r="CU20" i="14" s="1"/>
  <c r="AU20" i="14"/>
  <c r="CT20" i="14" s="1"/>
  <c r="AT20" i="14"/>
  <c r="CS20" i="14" s="1"/>
  <c r="AS20" i="14"/>
  <c r="CR20" i="14" s="1"/>
  <c r="AR20" i="14"/>
  <c r="CQ20" i="14" s="1"/>
  <c r="AQ20" i="14"/>
  <c r="CP20" i="14" s="1"/>
  <c r="AP20" i="14"/>
  <c r="CO20" i="14" s="1"/>
  <c r="AO20" i="14"/>
  <c r="CN20" i="14" s="1"/>
  <c r="AN20" i="14"/>
  <c r="CM20" i="14" s="1"/>
  <c r="AM20" i="14"/>
  <c r="CL20" i="14" s="1"/>
  <c r="AL20" i="14"/>
  <c r="CK20" i="14" s="1"/>
  <c r="AK20" i="14"/>
  <c r="CJ20" i="14" s="1"/>
  <c r="AJ20" i="14"/>
  <c r="CI20" i="14" s="1"/>
  <c r="AI20" i="14"/>
  <c r="CH20" i="14" s="1"/>
  <c r="AH20" i="14"/>
  <c r="CG20" i="14" s="1"/>
  <c r="AG20" i="14"/>
  <c r="CF20" i="14" s="1"/>
  <c r="AF20" i="14"/>
  <c r="CE20" i="14" s="1"/>
  <c r="AE20" i="14"/>
  <c r="CD20" i="14" s="1"/>
  <c r="AD20" i="14"/>
  <c r="CC20" i="14" s="1"/>
  <c r="AC20" i="14"/>
  <c r="CB20" i="14" s="1"/>
  <c r="AB20" i="14"/>
  <c r="CA20" i="14" s="1"/>
  <c r="AA20" i="14"/>
  <c r="BZ20" i="14" s="1"/>
  <c r="Z20" i="14"/>
  <c r="BY20" i="14" s="1"/>
  <c r="Y20" i="14"/>
  <c r="BX20" i="14" s="1"/>
  <c r="X20" i="14"/>
  <c r="BW20" i="14" s="1"/>
  <c r="W20" i="14"/>
  <c r="BV20" i="14" s="1"/>
  <c r="V20" i="14"/>
  <c r="BU20" i="14" s="1"/>
  <c r="U20" i="14"/>
  <c r="BT20" i="14" s="1"/>
  <c r="T20" i="14"/>
  <c r="BS20" i="14" s="1"/>
  <c r="S20" i="14"/>
  <c r="BR20" i="14" s="1"/>
  <c r="R20" i="14"/>
  <c r="BQ20" i="14" s="1"/>
  <c r="Q20" i="14"/>
  <c r="BP20" i="14" s="1"/>
  <c r="P20" i="14"/>
  <c r="BO20" i="14" s="1"/>
  <c r="O20" i="14"/>
  <c r="BN20" i="14" s="1"/>
  <c r="N20" i="14"/>
  <c r="BM20" i="14" s="1"/>
  <c r="M20" i="14"/>
  <c r="BL20" i="14" s="1"/>
  <c r="L20" i="14"/>
  <c r="BK20" i="14" s="1"/>
  <c r="K20" i="14"/>
  <c r="BJ20" i="14" s="1"/>
  <c r="AV19" i="14"/>
  <c r="CU19" i="14" s="1"/>
  <c r="AU19" i="14"/>
  <c r="CT19" i="14" s="1"/>
  <c r="AT19" i="14"/>
  <c r="CS19" i="14" s="1"/>
  <c r="AS19" i="14"/>
  <c r="CR19" i="14" s="1"/>
  <c r="AR19" i="14"/>
  <c r="CQ19" i="14" s="1"/>
  <c r="AQ19" i="14"/>
  <c r="CP19" i="14" s="1"/>
  <c r="AP19" i="14"/>
  <c r="CO19" i="14" s="1"/>
  <c r="AO19" i="14"/>
  <c r="CN19" i="14" s="1"/>
  <c r="AN19" i="14"/>
  <c r="CM19" i="14" s="1"/>
  <c r="AM19" i="14"/>
  <c r="CL19" i="14" s="1"/>
  <c r="AL19" i="14"/>
  <c r="CK19" i="14" s="1"/>
  <c r="AK19" i="14"/>
  <c r="CJ19" i="14" s="1"/>
  <c r="AJ19" i="14"/>
  <c r="CI19" i="14" s="1"/>
  <c r="AI19" i="14"/>
  <c r="CH19" i="14" s="1"/>
  <c r="AH19" i="14"/>
  <c r="CG19" i="14" s="1"/>
  <c r="AG19" i="14"/>
  <c r="CF19" i="14" s="1"/>
  <c r="AF19" i="14"/>
  <c r="CE19" i="14" s="1"/>
  <c r="AE19" i="14"/>
  <c r="CD19" i="14" s="1"/>
  <c r="AD19" i="14"/>
  <c r="CC19" i="14" s="1"/>
  <c r="AC19" i="14"/>
  <c r="CB19" i="14" s="1"/>
  <c r="AB19" i="14"/>
  <c r="CA19" i="14" s="1"/>
  <c r="AA19" i="14"/>
  <c r="BZ19" i="14" s="1"/>
  <c r="Z19" i="14"/>
  <c r="BY19" i="14" s="1"/>
  <c r="Y19" i="14"/>
  <c r="BX19" i="14" s="1"/>
  <c r="X19" i="14"/>
  <c r="BW19" i="14" s="1"/>
  <c r="W19" i="14"/>
  <c r="BV19" i="14" s="1"/>
  <c r="V19" i="14"/>
  <c r="BU19" i="14" s="1"/>
  <c r="U19" i="14"/>
  <c r="BT19" i="14" s="1"/>
  <c r="T19" i="14"/>
  <c r="BS19" i="14" s="1"/>
  <c r="S19" i="14"/>
  <c r="BR19" i="14" s="1"/>
  <c r="R19" i="14"/>
  <c r="BQ19" i="14" s="1"/>
  <c r="Q19" i="14"/>
  <c r="BP19" i="14" s="1"/>
  <c r="P19" i="14"/>
  <c r="BO19" i="14" s="1"/>
  <c r="O19" i="14"/>
  <c r="BN19" i="14" s="1"/>
  <c r="N19" i="14"/>
  <c r="BM19" i="14" s="1"/>
  <c r="M19" i="14"/>
  <c r="BL19" i="14" s="1"/>
  <c r="L19" i="14"/>
  <c r="BK19" i="14" s="1"/>
  <c r="K19" i="14"/>
  <c r="BJ19" i="14" s="1"/>
  <c r="AV18" i="14"/>
  <c r="CU18" i="14" s="1"/>
  <c r="AU18" i="14"/>
  <c r="CT18" i="14" s="1"/>
  <c r="AT18" i="14"/>
  <c r="CS18" i="14" s="1"/>
  <c r="AS18" i="14"/>
  <c r="CR18" i="14" s="1"/>
  <c r="AR18" i="14"/>
  <c r="CQ18" i="14" s="1"/>
  <c r="AQ18" i="14"/>
  <c r="CP18" i="14" s="1"/>
  <c r="AP18" i="14"/>
  <c r="CO18" i="14" s="1"/>
  <c r="AO18" i="14"/>
  <c r="CN18" i="14" s="1"/>
  <c r="AN18" i="14"/>
  <c r="CM18" i="14" s="1"/>
  <c r="AM18" i="14"/>
  <c r="CL18" i="14" s="1"/>
  <c r="AL18" i="14"/>
  <c r="CK18" i="14" s="1"/>
  <c r="AK18" i="14"/>
  <c r="CJ18" i="14" s="1"/>
  <c r="AJ18" i="14"/>
  <c r="CI18" i="14" s="1"/>
  <c r="AI18" i="14"/>
  <c r="CH18" i="14" s="1"/>
  <c r="AH18" i="14"/>
  <c r="CG18" i="14" s="1"/>
  <c r="AG18" i="14"/>
  <c r="CF18" i="14" s="1"/>
  <c r="AF18" i="14"/>
  <c r="CE18" i="14" s="1"/>
  <c r="AE18" i="14"/>
  <c r="CD18" i="14" s="1"/>
  <c r="AD18" i="14"/>
  <c r="CC18" i="14" s="1"/>
  <c r="AC18" i="14"/>
  <c r="CB18" i="14" s="1"/>
  <c r="AB18" i="14"/>
  <c r="CA18" i="14" s="1"/>
  <c r="AA18" i="14"/>
  <c r="BZ18" i="14" s="1"/>
  <c r="Z18" i="14"/>
  <c r="BY18" i="14" s="1"/>
  <c r="Y18" i="14"/>
  <c r="BX18" i="14" s="1"/>
  <c r="X18" i="14"/>
  <c r="BW18" i="14" s="1"/>
  <c r="W18" i="14"/>
  <c r="BV18" i="14" s="1"/>
  <c r="V18" i="14"/>
  <c r="BU18" i="14" s="1"/>
  <c r="U18" i="14"/>
  <c r="BT18" i="14" s="1"/>
  <c r="T18" i="14"/>
  <c r="BS18" i="14" s="1"/>
  <c r="S18" i="14"/>
  <c r="BR18" i="14" s="1"/>
  <c r="R18" i="14"/>
  <c r="BQ18" i="14" s="1"/>
  <c r="Q18" i="14"/>
  <c r="BP18" i="14" s="1"/>
  <c r="P18" i="14"/>
  <c r="BO18" i="14" s="1"/>
  <c r="O18" i="14"/>
  <c r="BN18" i="14" s="1"/>
  <c r="N18" i="14"/>
  <c r="BM18" i="14" s="1"/>
  <c r="M18" i="14"/>
  <c r="BL18" i="14" s="1"/>
  <c r="L18" i="14"/>
  <c r="BK18" i="14" s="1"/>
  <c r="K18" i="14"/>
  <c r="BJ18" i="14" s="1"/>
  <c r="AV17" i="14"/>
  <c r="CU17" i="14" s="1"/>
  <c r="AU17" i="14"/>
  <c r="CT17" i="14" s="1"/>
  <c r="AT17" i="14"/>
  <c r="CS17" i="14" s="1"/>
  <c r="AS17" i="14"/>
  <c r="CR17" i="14" s="1"/>
  <c r="AR17" i="14"/>
  <c r="CQ17" i="14" s="1"/>
  <c r="AQ17" i="14"/>
  <c r="CP17" i="14" s="1"/>
  <c r="AP17" i="14"/>
  <c r="CO17" i="14" s="1"/>
  <c r="AO17" i="14"/>
  <c r="CN17" i="14" s="1"/>
  <c r="AN17" i="14"/>
  <c r="CM17" i="14" s="1"/>
  <c r="AM17" i="14"/>
  <c r="CL17" i="14" s="1"/>
  <c r="AL17" i="14"/>
  <c r="CK17" i="14" s="1"/>
  <c r="AK17" i="14"/>
  <c r="CJ17" i="14" s="1"/>
  <c r="AJ17" i="14"/>
  <c r="CI17" i="14" s="1"/>
  <c r="AI17" i="14"/>
  <c r="CH17" i="14" s="1"/>
  <c r="AH17" i="14"/>
  <c r="CG17" i="14" s="1"/>
  <c r="AG17" i="14"/>
  <c r="CF17" i="14" s="1"/>
  <c r="AF17" i="14"/>
  <c r="CE17" i="14" s="1"/>
  <c r="AE17" i="14"/>
  <c r="CD17" i="14" s="1"/>
  <c r="AD17" i="14"/>
  <c r="CC17" i="14" s="1"/>
  <c r="AC17" i="14"/>
  <c r="CB17" i="14" s="1"/>
  <c r="AB17" i="14"/>
  <c r="CA17" i="14" s="1"/>
  <c r="AA17" i="14"/>
  <c r="BZ17" i="14" s="1"/>
  <c r="Z17" i="14"/>
  <c r="BY17" i="14" s="1"/>
  <c r="Y17" i="14"/>
  <c r="BX17" i="14" s="1"/>
  <c r="X17" i="14"/>
  <c r="BW17" i="14" s="1"/>
  <c r="W17" i="14"/>
  <c r="BV17" i="14" s="1"/>
  <c r="V17" i="14"/>
  <c r="BU17" i="14" s="1"/>
  <c r="U17" i="14"/>
  <c r="BT17" i="14" s="1"/>
  <c r="T17" i="14"/>
  <c r="BS17" i="14" s="1"/>
  <c r="S17" i="14"/>
  <c r="BR17" i="14" s="1"/>
  <c r="R17" i="14"/>
  <c r="BQ17" i="14" s="1"/>
  <c r="Q17" i="14"/>
  <c r="BP17" i="14" s="1"/>
  <c r="P17" i="14"/>
  <c r="BO17" i="14" s="1"/>
  <c r="O17" i="14"/>
  <c r="BN17" i="14" s="1"/>
  <c r="N17" i="14"/>
  <c r="BM17" i="14" s="1"/>
  <c r="M17" i="14"/>
  <c r="BL17" i="14" s="1"/>
  <c r="L17" i="14"/>
  <c r="BK17" i="14" s="1"/>
  <c r="K17" i="14"/>
  <c r="BJ17" i="14" s="1"/>
  <c r="AV16" i="14"/>
  <c r="CU16" i="14" s="1"/>
  <c r="AU16" i="14"/>
  <c r="CT16" i="14" s="1"/>
  <c r="AT16" i="14"/>
  <c r="CS16" i="14" s="1"/>
  <c r="AS16" i="14"/>
  <c r="CR16" i="14" s="1"/>
  <c r="AR16" i="14"/>
  <c r="CQ16" i="14" s="1"/>
  <c r="AQ16" i="14"/>
  <c r="CP16" i="14" s="1"/>
  <c r="AP16" i="14"/>
  <c r="CO16" i="14" s="1"/>
  <c r="AO16" i="14"/>
  <c r="CN16" i="14" s="1"/>
  <c r="AN16" i="14"/>
  <c r="CM16" i="14" s="1"/>
  <c r="AM16" i="14"/>
  <c r="CL16" i="14" s="1"/>
  <c r="AL16" i="14"/>
  <c r="CK16" i="14" s="1"/>
  <c r="AK16" i="14"/>
  <c r="CJ16" i="14" s="1"/>
  <c r="AJ16" i="14"/>
  <c r="CI16" i="14" s="1"/>
  <c r="AI16" i="14"/>
  <c r="CH16" i="14" s="1"/>
  <c r="AH16" i="14"/>
  <c r="CG16" i="14" s="1"/>
  <c r="AG16" i="14"/>
  <c r="CF16" i="14" s="1"/>
  <c r="AF16" i="14"/>
  <c r="CE16" i="14" s="1"/>
  <c r="AE16" i="14"/>
  <c r="CD16" i="14" s="1"/>
  <c r="AD16" i="14"/>
  <c r="CC16" i="14" s="1"/>
  <c r="AC16" i="14"/>
  <c r="CB16" i="14" s="1"/>
  <c r="AB16" i="14"/>
  <c r="CA16" i="14" s="1"/>
  <c r="AA16" i="14"/>
  <c r="BZ16" i="14" s="1"/>
  <c r="Z16" i="14"/>
  <c r="BY16" i="14" s="1"/>
  <c r="Y16" i="14"/>
  <c r="BX16" i="14" s="1"/>
  <c r="X16" i="14"/>
  <c r="BW16" i="14" s="1"/>
  <c r="W16" i="14"/>
  <c r="BV16" i="14" s="1"/>
  <c r="V16" i="14"/>
  <c r="BU16" i="14" s="1"/>
  <c r="U16" i="14"/>
  <c r="BT16" i="14" s="1"/>
  <c r="T16" i="14"/>
  <c r="BS16" i="14" s="1"/>
  <c r="S16" i="14"/>
  <c r="BR16" i="14" s="1"/>
  <c r="R16" i="14"/>
  <c r="BQ16" i="14" s="1"/>
  <c r="Q16" i="14"/>
  <c r="BP16" i="14" s="1"/>
  <c r="P16" i="14"/>
  <c r="BO16" i="14" s="1"/>
  <c r="O16" i="14"/>
  <c r="BN16" i="14" s="1"/>
  <c r="N16" i="14"/>
  <c r="BM16" i="14" s="1"/>
  <c r="M16" i="14"/>
  <c r="BL16" i="14" s="1"/>
  <c r="L16" i="14"/>
  <c r="BK16" i="14" s="1"/>
  <c r="K16" i="14"/>
  <c r="BJ16" i="14" s="1"/>
  <c r="AV15" i="14"/>
  <c r="CU15" i="14" s="1"/>
  <c r="AU15" i="14"/>
  <c r="CT15" i="14" s="1"/>
  <c r="AT15" i="14"/>
  <c r="CS15" i="14" s="1"/>
  <c r="AS15" i="14"/>
  <c r="CR15" i="14" s="1"/>
  <c r="AR15" i="14"/>
  <c r="CQ15" i="14" s="1"/>
  <c r="AQ15" i="14"/>
  <c r="CP15" i="14" s="1"/>
  <c r="AP15" i="14"/>
  <c r="CO15" i="14" s="1"/>
  <c r="AO15" i="14"/>
  <c r="CN15" i="14" s="1"/>
  <c r="AN15" i="14"/>
  <c r="CM15" i="14" s="1"/>
  <c r="AM15" i="14"/>
  <c r="CL15" i="14" s="1"/>
  <c r="AL15" i="14"/>
  <c r="CK15" i="14" s="1"/>
  <c r="AK15" i="14"/>
  <c r="CJ15" i="14" s="1"/>
  <c r="AJ15" i="14"/>
  <c r="CI15" i="14" s="1"/>
  <c r="AI15" i="14"/>
  <c r="CH15" i="14" s="1"/>
  <c r="AH15" i="14"/>
  <c r="CG15" i="14" s="1"/>
  <c r="AG15" i="14"/>
  <c r="CF15" i="14" s="1"/>
  <c r="AF15" i="14"/>
  <c r="CE15" i="14" s="1"/>
  <c r="AE15" i="14"/>
  <c r="CD15" i="14" s="1"/>
  <c r="AD15" i="14"/>
  <c r="CC15" i="14" s="1"/>
  <c r="AC15" i="14"/>
  <c r="CB15" i="14" s="1"/>
  <c r="AB15" i="14"/>
  <c r="CA15" i="14" s="1"/>
  <c r="AA15" i="14"/>
  <c r="BZ15" i="14" s="1"/>
  <c r="Z15" i="14"/>
  <c r="BY15" i="14" s="1"/>
  <c r="Y15" i="14"/>
  <c r="BX15" i="14" s="1"/>
  <c r="X15" i="14"/>
  <c r="BW15" i="14" s="1"/>
  <c r="W15" i="14"/>
  <c r="BV15" i="14" s="1"/>
  <c r="V15" i="14"/>
  <c r="BU15" i="14" s="1"/>
  <c r="U15" i="14"/>
  <c r="BT15" i="14" s="1"/>
  <c r="T15" i="14"/>
  <c r="BS15" i="14" s="1"/>
  <c r="S15" i="14"/>
  <c r="BR15" i="14" s="1"/>
  <c r="R15" i="14"/>
  <c r="BQ15" i="14" s="1"/>
  <c r="Q15" i="14"/>
  <c r="BP15" i="14" s="1"/>
  <c r="P15" i="14"/>
  <c r="BO15" i="14" s="1"/>
  <c r="O15" i="14"/>
  <c r="BN15" i="14" s="1"/>
  <c r="N15" i="14"/>
  <c r="BM15" i="14" s="1"/>
  <c r="M15" i="14"/>
  <c r="BL15" i="14" s="1"/>
  <c r="L15" i="14"/>
  <c r="BK15" i="14" s="1"/>
  <c r="K15" i="14"/>
  <c r="BJ15" i="14" s="1"/>
  <c r="AV14" i="14"/>
  <c r="CU14" i="14" s="1"/>
  <c r="AU14" i="14"/>
  <c r="CT14" i="14" s="1"/>
  <c r="AT14" i="14"/>
  <c r="CS14" i="14" s="1"/>
  <c r="AS14" i="14"/>
  <c r="CR14" i="14" s="1"/>
  <c r="AR14" i="14"/>
  <c r="CQ14" i="14" s="1"/>
  <c r="AQ14" i="14"/>
  <c r="CP14" i="14" s="1"/>
  <c r="AP14" i="14"/>
  <c r="CO14" i="14" s="1"/>
  <c r="AO14" i="14"/>
  <c r="CN14" i="14" s="1"/>
  <c r="AN14" i="14"/>
  <c r="CM14" i="14" s="1"/>
  <c r="AM14" i="14"/>
  <c r="CL14" i="14" s="1"/>
  <c r="AL14" i="14"/>
  <c r="CK14" i="14" s="1"/>
  <c r="AK14" i="14"/>
  <c r="CJ14" i="14" s="1"/>
  <c r="AJ14" i="14"/>
  <c r="CI14" i="14" s="1"/>
  <c r="AI14" i="14"/>
  <c r="CH14" i="14" s="1"/>
  <c r="AH14" i="14"/>
  <c r="CG14" i="14" s="1"/>
  <c r="AG14" i="14"/>
  <c r="CF14" i="14" s="1"/>
  <c r="AF14" i="14"/>
  <c r="CE14" i="14" s="1"/>
  <c r="AE14" i="14"/>
  <c r="CD14" i="14" s="1"/>
  <c r="AD14" i="14"/>
  <c r="CC14" i="14" s="1"/>
  <c r="AC14" i="14"/>
  <c r="CB14" i="14" s="1"/>
  <c r="AB14" i="14"/>
  <c r="CA14" i="14" s="1"/>
  <c r="AA14" i="14"/>
  <c r="BZ14" i="14" s="1"/>
  <c r="Z14" i="14"/>
  <c r="BY14" i="14" s="1"/>
  <c r="Y14" i="14"/>
  <c r="BX14" i="14" s="1"/>
  <c r="X14" i="14"/>
  <c r="BW14" i="14" s="1"/>
  <c r="W14" i="14"/>
  <c r="BV14" i="14" s="1"/>
  <c r="V14" i="14"/>
  <c r="BU14" i="14" s="1"/>
  <c r="U14" i="14"/>
  <c r="BT14" i="14" s="1"/>
  <c r="T14" i="14"/>
  <c r="BS14" i="14" s="1"/>
  <c r="S14" i="14"/>
  <c r="BR14" i="14" s="1"/>
  <c r="R14" i="14"/>
  <c r="BQ14" i="14" s="1"/>
  <c r="Q14" i="14"/>
  <c r="BP14" i="14" s="1"/>
  <c r="P14" i="14"/>
  <c r="BO14" i="14" s="1"/>
  <c r="O14" i="14"/>
  <c r="BN14" i="14" s="1"/>
  <c r="N14" i="14"/>
  <c r="BM14" i="14" s="1"/>
  <c r="M14" i="14"/>
  <c r="BL14" i="14" s="1"/>
  <c r="L14" i="14"/>
  <c r="BK14" i="14" s="1"/>
  <c r="K14" i="14"/>
  <c r="BJ14" i="14" s="1"/>
  <c r="AV13" i="14"/>
  <c r="CU13" i="14" s="1"/>
  <c r="AU13" i="14"/>
  <c r="CT13" i="14" s="1"/>
  <c r="AT13" i="14"/>
  <c r="CS13" i="14" s="1"/>
  <c r="AS13" i="14"/>
  <c r="CR13" i="14" s="1"/>
  <c r="AR13" i="14"/>
  <c r="CQ13" i="14" s="1"/>
  <c r="AQ13" i="14"/>
  <c r="CP13" i="14" s="1"/>
  <c r="AP13" i="14"/>
  <c r="CO13" i="14" s="1"/>
  <c r="AO13" i="14"/>
  <c r="CN13" i="14" s="1"/>
  <c r="AN13" i="14"/>
  <c r="CM13" i="14" s="1"/>
  <c r="AM13" i="14"/>
  <c r="CL13" i="14" s="1"/>
  <c r="AL13" i="14"/>
  <c r="CK13" i="14" s="1"/>
  <c r="AK13" i="14"/>
  <c r="CJ13" i="14" s="1"/>
  <c r="AJ13" i="14"/>
  <c r="CI13" i="14" s="1"/>
  <c r="AI13" i="14"/>
  <c r="CH13" i="14" s="1"/>
  <c r="AH13" i="14"/>
  <c r="CG13" i="14" s="1"/>
  <c r="AG13" i="14"/>
  <c r="CF13" i="14" s="1"/>
  <c r="AF13" i="14"/>
  <c r="CE13" i="14" s="1"/>
  <c r="AE13" i="14"/>
  <c r="CD13" i="14" s="1"/>
  <c r="AD13" i="14"/>
  <c r="CC13" i="14" s="1"/>
  <c r="AC13" i="14"/>
  <c r="CB13" i="14" s="1"/>
  <c r="AB13" i="14"/>
  <c r="CA13" i="14" s="1"/>
  <c r="AA13" i="14"/>
  <c r="BZ13" i="14" s="1"/>
  <c r="Z13" i="14"/>
  <c r="BY13" i="14" s="1"/>
  <c r="Y13" i="14"/>
  <c r="BX13" i="14" s="1"/>
  <c r="X13" i="14"/>
  <c r="BW13" i="14" s="1"/>
  <c r="W13" i="14"/>
  <c r="BV13" i="14" s="1"/>
  <c r="V13" i="14"/>
  <c r="BU13" i="14" s="1"/>
  <c r="U13" i="14"/>
  <c r="BT13" i="14" s="1"/>
  <c r="T13" i="14"/>
  <c r="BS13" i="14" s="1"/>
  <c r="S13" i="14"/>
  <c r="BR13" i="14" s="1"/>
  <c r="R13" i="14"/>
  <c r="BQ13" i="14" s="1"/>
  <c r="Q13" i="14"/>
  <c r="BP13" i="14" s="1"/>
  <c r="P13" i="14"/>
  <c r="BO13" i="14" s="1"/>
  <c r="O13" i="14"/>
  <c r="BN13" i="14" s="1"/>
  <c r="N13" i="14"/>
  <c r="BM13" i="14" s="1"/>
  <c r="M13" i="14"/>
  <c r="BL13" i="14" s="1"/>
  <c r="L13" i="14"/>
  <c r="BK13" i="14" s="1"/>
  <c r="K13" i="14"/>
  <c r="BJ13" i="14" s="1"/>
  <c r="AV12" i="14"/>
  <c r="CU12" i="14" s="1"/>
  <c r="AU12" i="14"/>
  <c r="CT12" i="14" s="1"/>
  <c r="AT12" i="14"/>
  <c r="CS12" i="14" s="1"/>
  <c r="AS12" i="14"/>
  <c r="CR12" i="14" s="1"/>
  <c r="AR12" i="14"/>
  <c r="CQ12" i="14" s="1"/>
  <c r="AQ12" i="14"/>
  <c r="CP12" i="14" s="1"/>
  <c r="AP12" i="14"/>
  <c r="CO12" i="14" s="1"/>
  <c r="AO12" i="14"/>
  <c r="CN12" i="14" s="1"/>
  <c r="AN12" i="14"/>
  <c r="CM12" i="14" s="1"/>
  <c r="AM12" i="14"/>
  <c r="CL12" i="14" s="1"/>
  <c r="AL12" i="14"/>
  <c r="CK12" i="14" s="1"/>
  <c r="AK12" i="14"/>
  <c r="CJ12" i="14" s="1"/>
  <c r="AJ12" i="14"/>
  <c r="CI12" i="14" s="1"/>
  <c r="AI12" i="14"/>
  <c r="CH12" i="14" s="1"/>
  <c r="AH12" i="14"/>
  <c r="CG12" i="14" s="1"/>
  <c r="AG12" i="14"/>
  <c r="CF12" i="14" s="1"/>
  <c r="AF12" i="14"/>
  <c r="CE12" i="14" s="1"/>
  <c r="AE12" i="14"/>
  <c r="CD12" i="14" s="1"/>
  <c r="AD12" i="14"/>
  <c r="CC12" i="14" s="1"/>
  <c r="AC12" i="14"/>
  <c r="CB12" i="14" s="1"/>
  <c r="AB12" i="14"/>
  <c r="CA12" i="14" s="1"/>
  <c r="AA12" i="14"/>
  <c r="BZ12" i="14" s="1"/>
  <c r="Z12" i="14"/>
  <c r="BY12" i="14" s="1"/>
  <c r="Y12" i="14"/>
  <c r="BX12" i="14" s="1"/>
  <c r="X12" i="14"/>
  <c r="BW12" i="14" s="1"/>
  <c r="W12" i="14"/>
  <c r="BV12" i="14" s="1"/>
  <c r="V12" i="14"/>
  <c r="BU12" i="14" s="1"/>
  <c r="U12" i="14"/>
  <c r="BT12" i="14" s="1"/>
  <c r="T12" i="14"/>
  <c r="BS12" i="14" s="1"/>
  <c r="S12" i="14"/>
  <c r="BR12" i="14" s="1"/>
  <c r="R12" i="14"/>
  <c r="BQ12" i="14" s="1"/>
  <c r="Q12" i="14"/>
  <c r="BP12" i="14" s="1"/>
  <c r="P12" i="14"/>
  <c r="BO12" i="14" s="1"/>
  <c r="O12" i="14"/>
  <c r="BN12" i="14" s="1"/>
  <c r="N12" i="14"/>
  <c r="BM12" i="14" s="1"/>
  <c r="M12" i="14"/>
  <c r="BL12" i="14" s="1"/>
  <c r="L12" i="14"/>
  <c r="BK12" i="14" s="1"/>
  <c r="K12" i="14"/>
  <c r="BJ12" i="14" s="1"/>
  <c r="AV11" i="14"/>
  <c r="CU11" i="14" s="1"/>
  <c r="AU11" i="14"/>
  <c r="CT11" i="14" s="1"/>
  <c r="AT11" i="14"/>
  <c r="CS11" i="14" s="1"/>
  <c r="AS11" i="14"/>
  <c r="CR11" i="14" s="1"/>
  <c r="AR11" i="14"/>
  <c r="CQ11" i="14" s="1"/>
  <c r="AQ11" i="14"/>
  <c r="CP11" i="14" s="1"/>
  <c r="AP11" i="14"/>
  <c r="CO11" i="14" s="1"/>
  <c r="AO11" i="14"/>
  <c r="CN11" i="14" s="1"/>
  <c r="AN11" i="14"/>
  <c r="CM11" i="14" s="1"/>
  <c r="AM11" i="14"/>
  <c r="CL11" i="14" s="1"/>
  <c r="AL11" i="14"/>
  <c r="CK11" i="14" s="1"/>
  <c r="AK11" i="14"/>
  <c r="CJ11" i="14" s="1"/>
  <c r="AJ11" i="14"/>
  <c r="CI11" i="14" s="1"/>
  <c r="AI11" i="14"/>
  <c r="CH11" i="14" s="1"/>
  <c r="AH11" i="14"/>
  <c r="CG11" i="14" s="1"/>
  <c r="AG11" i="14"/>
  <c r="CF11" i="14" s="1"/>
  <c r="AF11" i="14"/>
  <c r="CE11" i="14" s="1"/>
  <c r="AE11" i="14"/>
  <c r="CD11" i="14" s="1"/>
  <c r="AD11" i="14"/>
  <c r="CC11" i="14" s="1"/>
  <c r="AC11" i="14"/>
  <c r="CB11" i="14" s="1"/>
  <c r="AB11" i="14"/>
  <c r="CA11" i="14" s="1"/>
  <c r="AA11" i="14"/>
  <c r="BZ11" i="14" s="1"/>
  <c r="Z11" i="14"/>
  <c r="BY11" i="14" s="1"/>
  <c r="Y11" i="14"/>
  <c r="BX11" i="14" s="1"/>
  <c r="X11" i="14"/>
  <c r="BW11" i="14" s="1"/>
  <c r="W11" i="14"/>
  <c r="BV11" i="14" s="1"/>
  <c r="V11" i="14"/>
  <c r="BU11" i="14" s="1"/>
  <c r="U11" i="14"/>
  <c r="BT11" i="14" s="1"/>
  <c r="T11" i="14"/>
  <c r="BS11" i="14" s="1"/>
  <c r="S11" i="14"/>
  <c r="BR11" i="14" s="1"/>
  <c r="R11" i="14"/>
  <c r="BQ11" i="14" s="1"/>
  <c r="Q11" i="14"/>
  <c r="BP11" i="14" s="1"/>
  <c r="P11" i="14"/>
  <c r="BO11" i="14" s="1"/>
  <c r="O11" i="14"/>
  <c r="BN11" i="14" s="1"/>
  <c r="N11" i="14"/>
  <c r="BM11" i="14" s="1"/>
  <c r="M11" i="14"/>
  <c r="BL11" i="14" s="1"/>
  <c r="L11" i="14"/>
  <c r="BK11" i="14" s="1"/>
  <c r="K11" i="14"/>
  <c r="BJ11" i="14" s="1"/>
  <c r="AV10" i="14"/>
  <c r="CU10" i="14" s="1"/>
  <c r="AU10" i="14"/>
  <c r="CT10" i="14" s="1"/>
  <c r="AT10" i="14"/>
  <c r="CS10" i="14" s="1"/>
  <c r="AS10" i="14"/>
  <c r="CR10" i="14" s="1"/>
  <c r="AR10" i="14"/>
  <c r="CQ10" i="14" s="1"/>
  <c r="AQ10" i="14"/>
  <c r="CP10" i="14" s="1"/>
  <c r="AP10" i="14"/>
  <c r="CO10" i="14" s="1"/>
  <c r="AO10" i="14"/>
  <c r="CN10" i="14" s="1"/>
  <c r="AN10" i="14"/>
  <c r="CM10" i="14" s="1"/>
  <c r="AM10" i="14"/>
  <c r="CL10" i="14" s="1"/>
  <c r="AL10" i="14"/>
  <c r="CK10" i="14" s="1"/>
  <c r="AK10" i="14"/>
  <c r="CJ10" i="14" s="1"/>
  <c r="AJ10" i="14"/>
  <c r="CI10" i="14" s="1"/>
  <c r="AI10" i="14"/>
  <c r="CH10" i="14" s="1"/>
  <c r="AH10" i="14"/>
  <c r="CG10" i="14" s="1"/>
  <c r="AG10" i="14"/>
  <c r="CF10" i="14" s="1"/>
  <c r="AF10" i="14"/>
  <c r="CE10" i="14" s="1"/>
  <c r="AE10" i="14"/>
  <c r="CD10" i="14" s="1"/>
  <c r="AD10" i="14"/>
  <c r="CC10" i="14" s="1"/>
  <c r="AC10" i="14"/>
  <c r="CB10" i="14" s="1"/>
  <c r="AB10" i="14"/>
  <c r="CA10" i="14" s="1"/>
  <c r="AA10" i="14"/>
  <c r="BZ10" i="14" s="1"/>
  <c r="Z10" i="14"/>
  <c r="BY10" i="14" s="1"/>
  <c r="Y10" i="14"/>
  <c r="BX10" i="14" s="1"/>
  <c r="X10" i="14"/>
  <c r="BW10" i="14" s="1"/>
  <c r="W10" i="14"/>
  <c r="BV10" i="14" s="1"/>
  <c r="V10" i="14"/>
  <c r="BU10" i="14" s="1"/>
  <c r="U10" i="14"/>
  <c r="BT10" i="14" s="1"/>
  <c r="T10" i="14"/>
  <c r="BS10" i="14" s="1"/>
  <c r="S10" i="14"/>
  <c r="BR10" i="14" s="1"/>
  <c r="R10" i="14"/>
  <c r="BQ10" i="14" s="1"/>
  <c r="Q10" i="14"/>
  <c r="BP10" i="14" s="1"/>
  <c r="P10" i="14"/>
  <c r="BO10" i="14" s="1"/>
  <c r="O10" i="14"/>
  <c r="BN10" i="14" s="1"/>
  <c r="N10" i="14"/>
  <c r="BM10" i="14" s="1"/>
  <c r="M10" i="14"/>
  <c r="BL10" i="14" s="1"/>
  <c r="L10" i="14"/>
  <c r="BK10" i="14" s="1"/>
  <c r="K10" i="14"/>
  <c r="BJ10" i="14" s="1"/>
  <c r="AV9" i="14"/>
  <c r="CU9" i="14" s="1"/>
  <c r="AU9" i="14"/>
  <c r="CT9" i="14" s="1"/>
  <c r="AT9" i="14"/>
  <c r="CS9" i="14" s="1"/>
  <c r="AS9" i="14"/>
  <c r="CR9" i="14" s="1"/>
  <c r="AR9" i="14"/>
  <c r="CQ9" i="14" s="1"/>
  <c r="AQ9" i="14"/>
  <c r="CP9" i="14" s="1"/>
  <c r="AP9" i="14"/>
  <c r="CO9" i="14" s="1"/>
  <c r="AO9" i="14"/>
  <c r="CN9" i="14" s="1"/>
  <c r="AN9" i="14"/>
  <c r="CM9" i="14" s="1"/>
  <c r="AM9" i="14"/>
  <c r="CL9" i="14" s="1"/>
  <c r="AL9" i="14"/>
  <c r="CK9" i="14" s="1"/>
  <c r="AK9" i="14"/>
  <c r="CJ9" i="14" s="1"/>
  <c r="AJ9" i="14"/>
  <c r="CI9" i="14" s="1"/>
  <c r="AI9" i="14"/>
  <c r="CH9" i="14" s="1"/>
  <c r="AH9" i="14"/>
  <c r="CG9" i="14" s="1"/>
  <c r="AG9" i="14"/>
  <c r="CF9" i="14" s="1"/>
  <c r="AF9" i="14"/>
  <c r="CE9" i="14" s="1"/>
  <c r="AE9" i="14"/>
  <c r="CD9" i="14" s="1"/>
  <c r="AD9" i="14"/>
  <c r="CC9" i="14" s="1"/>
  <c r="AC9" i="14"/>
  <c r="CB9" i="14" s="1"/>
  <c r="AB9" i="14"/>
  <c r="CA9" i="14" s="1"/>
  <c r="AA9" i="14"/>
  <c r="BZ9" i="14" s="1"/>
  <c r="Z9" i="14"/>
  <c r="BY9" i="14" s="1"/>
  <c r="Y9" i="14"/>
  <c r="BX9" i="14" s="1"/>
  <c r="X9" i="14"/>
  <c r="BW9" i="14" s="1"/>
  <c r="W9" i="14"/>
  <c r="BV9" i="14" s="1"/>
  <c r="V9" i="14"/>
  <c r="BU9" i="14" s="1"/>
  <c r="U9" i="14"/>
  <c r="BT9" i="14" s="1"/>
  <c r="T9" i="14"/>
  <c r="BS9" i="14" s="1"/>
  <c r="S9" i="14"/>
  <c r="BR9" i="14" s="1"/>
  <c r="R9" i="14"/>
  <c r="BQ9" i="14" s="1"/>
  <c r="Q9" i="14"/>
  <c r="BP9" i="14" s="1"/>
  <c r="P9" i="14"/>
  <c r="BO9" i="14" s="1"/>
  <c r="O9" i="14"/>
  <c r="BN9" i="14" s="1"/>
  <c r="N9" i="14"/>
  <c r="BM9" i="14" s="1"/>
  <c r="M9" i="14"/>
  <c r="BL9" i="14" s="1"/>
  <c r="L9" i="14"/>
  <c r="BK9" i="14" s="1"/>
  <c r="K9" i="14"/>
  <c r="BJ9" i="14" s="1"/>
  <c r="AV8" i="14"/>
  <c r="CU8" i="14" s="1"/>
  <c r="AU8" i="14"/>
  <c r="CT8" i="14" s="1"/>
  <c r="AT8" i="14"/>
  <c r="CS8" i="14" s="1"/>
  <c r="AS8" i="14"/>
  <c r="CR8" i="14" s="1"/>
  <c r="AR8" i="14"/>
  <c r="CQ8" i="14" s="1"/>
  <c r="AQ8" i="14"/>
  <c r="CP8" i="14" s="1"/>
  <c r="AP8" i="14"/>
  <c r="CO8" i="14" s="1"/>
  <c r="AO8" i="14"/>
  <c r="CN8" i="14" s="1"/>
  <c r="AN8" i="14"/>
  <c r="CM8" i="14" s="1"/>
  <c r="AM8" i="14"/>
  <c r="CL8" i="14" s="1"/>
  <c r="AL8" i="14"/>
  <c r="CK8" i="14" s="1"/>
  <c r="AK8" i="14"/>
  <c r="CJ8" i="14" s="1"/>
  <c r="AJ8" i="14"/>
  <c r="CI8" i="14" s="1"/>
  <c r="AI8" i="14"/>
  <c r="CH8" i="14" s="1"/>
  <c r="AH8" i="14"/>
  <c r="CG8" i="14" s="1"/>
  <c r="AG8" i="14"/>
  <c r="CF8" i="14" s="1"/>
  <c r="AF8" i="14"/>
  <c r="CE8" i="14" s="1"/>
  <c r="AE8" i="14"/>
  <c r="CD8" i="14" s="1"/>
  <c r="AD8" i="14"/>
  <c r="CC8" i="14" s="1"/>
  <c r="AC8" i="14"/>
  <c r="CB8" i="14" s="1"/>
  <c r="AB8" i="14"/>
  <c r="CA8" i="14" s="1"/>
  <c r="AA8" i="14"/>
  <c r="BZ8" i="14" s="1"/>
  <c r="Z8" i="14"/>
  <c r="BY8" i="14" s="1"/>
  <c r="Y8" i="14"/>
  <c r="BX8" i="14" s="1"/>
  <c r="X8" i="14"/>
  <c r="BW8" i="14" s="1"/>
  <c r="W8" i="14"/>
  <c r="BV8" i="14" s="1"/>
  <c r="V8" i="14"/>
  <c r="BU8" i="14" s="1"/>
  <c r="U8" i="14"/>
  <c r="BT8" i="14" s="1"/>
  <c r="T8" i="14"/>
  <c r="BS8" i="14" s="1"/>
  <c r="S8" i="14"/>
  <c r="BR8" i="14" s="1"/>
  <c r="R8" i="14"/>
  <c r="BQ8" i="14" s="1"/>
  <c r="Q8" i="14"/>
  <c r="BP8" i="14" s="1"/>
  <c r="P8" i="14"/>
  <c r="BO8" i="14" s="1"/>
  <c r="O8" i="14"/>
  <c r="BN8" i="14" s="1"/>
  <c r="N8" i="14"/>
  <c r="BM8" i="14" s="1"/>
  <c r="M8" i="14"/>
  <c r="BL8" i="14" s="1"/>
  <c r="L8" i="14"/>
  <c r="BK8" i="14" s="1"/>
  <c r="K8" i="14"/>
  <c r="BJ8" i="14" s="1"/>
  <c r="AV7" i="14"/>
  <c r="CU7" i="14" s="1"/>
  <c r="AU7" i="14"/>
  <c r="CT7" i="14" s="1"/>
  <c r="AT7" i="14"/>
  <c r="CS7" i="14" s="1"/>
  <c r="AS7" i="14"/>
  <c r="CR7" i="14" s="1"/>
  <c r="AR7" i="14"/>
  <c r="CQ7" i="14" s="1"/>
  <c r="AQ7" i="14"/>
  <c r="CP7" i="14" s="1"/>
  <c r="AP7" i="14"/>
  <c r="CO7" i="14" s="1"/>
  <c r="AO7" i="14"/>
  <c r="CN7" i="14" s="1"/>
  <c r="AN7" i="14"/>
  <c r="CM7" i="14" s="1"/>
  <c r="AM7" i="14"/>
  <c r="CL7" i="14" s="1"/>
  <c r="AL7" i="14"/>
  <c r="CK7" i="14" s="1"/>
  <c r="AK7" i="14"/>
  <c r="CJ7" i="14" s="1"/>
  <c r="AJ7" i="14"/>
  <c r="CI7" i="14" s="1"/>
  <c r="AI7" i="14"/>
  <c r="CH7" i="14" s="1"/>
  <c r="AH7" i="14"/>
  <c r="CG7" i="14" s="1"/>
  <c r="AG7" i="14"/>
  <c r="CF7" i="14" s="1"/>
  <c r="AF7" i="14"/>
  <c r="CE7" i="14" s="1"/>
  <c r="AE7" i="14"/>
  <c r="CD7" i="14" s="1"/>
  <c r="AD7" i="14"/>
  <c r="CC7" i="14" s="1"/>
  <c r="AC7" i="14"/>
  <c r="CB7" i="14" s="1"/>
  <c r="AB7" i="14"/>
  <c r="CA7" i="14" s="1"/>
  <c r="AA7" i="14"/>
  <c r="BZ7" i="14" s="1"/>
  <c r="Z7" i="14"/>
  <c r="BY7" i="14" s="1"/>
  <c r="Y7" i="14"/>
  <c r="BX7" i="14" s="1"/>
  <c r="X7" i="14"/>
  <c r="BW7" i="14" s="1"/>
  <c r="W7" i="14"/>
  <c r="BV7" i="14" s="1"/>
  <c r="V7" i="14"/>
  <c r="BU7" i="14" s="1"/>
  <c r="U7" i="14"/>
  <c r="BT7" i="14" s="1"/>
  <c r="T7" i="14"/>
  <c r="BS7" i="14" s="1"/>
  <c r="S7" i="14"/>
  <c r="BR7" i="14" s="1"/>
  <c r="R7" i="14"/>
  <c r="BQ7" i="14" s="1"/>
  <c r="Q7" i="14"/>
  <c r="BP7" i="14" s="1"/>
  <c r="P7" i="14"/>
  <c r="BO7" i="14" s="1"/>
  <c r="O7" i="14"/>
  <c r="BN7" i="14" s="1"/>
  <c r="N7" i="14"/>
  <c r="BM7" i="14" s="1"/>
  <c r="M7" i="14"/>
  <c r="BL7" i="14" s="1"/>
  <c r="L7" i="14"/>
  <c r="BK7" i="14" s="1"/>
  <c r="K7" i="14"/>
  <c r="BJ7" i="14" s="1"/>
  <c r="AV6" i="14"/>
  <c r="CU6" i="14" s="1"/>
  <c r="AU6" i="14"/>
  <c r="CT6" i="14" s="1"/>
  <c r="AT6" i="14"/>
  <c r="CS6" i="14" s="1"/>
  <c r="AS6" i="14"/>
  <c r="CR6" i="14" s="1"/>
  <c r="AR6" i="14"/>
  <c r="CQ6" i="14" s="1"/>
  <c r="AQ6" i="14"/>
  <c r="CP6" i="14" s="1"/>
  <c r="AP6" i="14"/>
  <c r="CO6" i="14" s="1"/>
  <c r="AO6" i="14"/>
  <c r="CN6" i="14" s="1"/>
  <c r="AN6" i="14"/>
  <c r="CM6" i="14" s="1"/>
  <c r="AM6" i="14"/>
  <c r="CL6" i="14" s="1"/>
  <c r="AL6" i="14"/>
  <c r="CK6" i="14" s="1"/>
  <c r="AK6" i="14"/>
  <c r="CJ6" i="14" s="1"/>
  <c r="AJ6" i="14"/>
  <c r="CI6" i="14" s="1"/>
  <c r="AI6" i="14"/>
  <c r="CH6" i="14" s="1"/>
  <c r="AH6" i="14"/>
  <c r="CG6" i="14" s="1"/>
  <c r="AG6" i="14"/>
  <c r="CF6" i="14" s="1"/>
  <c r="AF6" i="14"/>
  <c r="CE6" i="14" s="1"/>
  <c r="AE6" i="14"/>
  <c r="CD6" i="14" s="1"/>
  <c r="AD6" i="14"/>
  <c r="CC6" i="14" s="1"/>
  <c r="AC6" i="14"/>
  <c r="CB6" i="14" s="1"/>
  <c r="AB6" i="14"/>
  <c r="CA6" i="14" s="1"/>
  <c r="AA6" i="14"/>
  <c r="BZ6" i="14" s="1"/>
  <c r="Z6" i="14"/>
  <c r="BY6" i="14" s="1"/>
  <c r="Y6" i="14"/>
  <c r="BX6" i="14" s="1"/>
  <c r="X6" i="14"/>
  <c r="BW6" i="14" s="1"/>
  <c r="W6" i="14"/>
  <c r="BV6" i="14" s="1"/>
  <c r="V6" i="14"/>
  <c r="BU6" i="14" s="1"/>
  <c r="U6" i="14"/>
  <c r="BT6" i="14" s="1"/>
  <c r="T6" i="14"/>
  <c r="BS6" i="14" s="1"/>
  <c r="S6" i="14"/>
  <c r="BR6" i="14" s="1"/>
  <c r="R6" i="14"/>
  <c r="BQ6" i="14" s="1"/>
  <c r="Q6" i="14"/>
  <c r="BP6" i="14" s="1"/>
  <c r="P6" i="14"/>
  <c r="BO6" i="14" s="1"/>
  <c r="O6" i="14"/>
  <c r="BN6" i="14" s="1"/>
  <c r="N6" i="14"/>
  <c r="BM6" i="14" s="1"/>
  <c r="M6" i="14"/>
  <c r="BL6" i="14" s="1"/>
  <c r="L6" i="14"/>
  <c r="BK6" i="14" s="1"/>
  <c r="K6" i="14"/>
  <c r="BJ6" i="14" s="1"/>
  <c r="AV5" i="14"/>
  <c r="CU5" i="14" s="1"/>
  <c r="AU5" i="14"/>
  <c r="CT5" i="14" s="1"/>
  <c r="AT5" i="14"/>
  <c r="CS5" i="14" s="1"/>
  <c r="AS5" i="14"/>
  <c r="CR5" i="14" s="1"/>
  <c r="AR5" i="14"/>
  <c r="CQ5" i="14" s="1"/>
  <c r="AQ5" i="14"/>
  <c r="CP5" i="14" s="1"/>
  <c r="AP5" i="14"/>
  <c r="CO5" i="14" s="1"/>
  <c r="AO5" i="14"/>
  <c r="CN5" i="14" s="1"/>
  <c r="AN5" i="14"/>
  <c r="CM5" i="14" s="1"/>
  <c r="AM5" i="14"/>
  <c r="CL5" i="14" s="1"/>
  <c r="AL5" i="14"/>
  <c r="CK5" i="14" s="1"/>
  <c r="AK5" i="14"/>
  <c r="CJ5" i="14" s="1"/>
  <c r="AJ5" i="14"/>
  <c r="CI5" i="14" s="1"/>
  <c r="AI5" i="14"/>
  <c r="CH5" i="14" s="1"/>
  <c r="AH5" i="14"/>
  <c r="CG5" i="14" s="1"/>
  <c r="AG5" i="14"/>
  <c r="CF5" i="14" s="1"/>
  <c r="AF5" i="14"/>
  <c r="CE5" i="14" s="1"/>
  <c r="AE5" i="14"/>
  <c r="CD5" i="14" s="1"/>
  <c r="AD5" i="14"/>
  <c r="CC5" i="14" s="1"/>
  <c r="AC5" i="14"/>
  <c r="CB5" i="14" s="1"/>
  <c r="AB5" i="14"/>
  <c r="CA5" i="14" s="1"/>
  <c r="AA5" i="14"/>
  <c r="BZ5" i="14" s="1"/>
  <c r="Z5" i="14"/>
  <c r="BY5" i="14" s="1"/>
  <c r="Y5" i="14"/>
  <c r="BX5" i="14" s="1"/>
  <c r="X5" i="14"/>
  <c r="BW5" i="14" s="1"/>
  <c r="W5" i="14"/>
  <c r="BV5" i="14" s="1"/>
  <c r="V5" i="14"/>
  <c r="BU5" i="14" s="1"/>
  <c r="U5" i="14"/>
  <c r="BT5" i="14" s="1"/>
  <c r="T5" i="14"/>
  <c r="BS5" i="14" s="1"/>
  <c r="S5" i="14"/>
  <c r="BR5" i="14" s="1"/>
  <c r="R5" i="14"/>
  <c r="BQ5" i="14" s="1"/>
  <c r="Q5" i="14"/>
  <c r="BP5" i="14" s="1"/>
  <c r="P5" i="14"/>
  <c r="BO5" i="14" s="1"/>
  <c r="O5" i="14"/>
  <c r="BN5" i="14" s="1"/>
  <c r="N5" i="14"/>
  <c r="BM5" i="14" s="1"/>
  <c r="M5" i="14"/>
  <c r="BL5" i="14" s="1"/>
  <c r="L5" i="14"/>
  <c r="BK5" i="14" s="1"/>
  <c r="K5" i="14"/>
  <c r="BJ5" i="14" s="1"/>
  <c r="AV4" i="14"/>
  <c r="CU4" i="14" s="1"/>
  <c r="AU4" i="14"/>
  <c r="CT4" i="14" s="1"/>
  <c r="AT4" i="14"/>
  <c r="CS4" i="14" s="1"/>
  <c r="AS4" i="14"/>
  <c r="CR4" i="14" s="1"/>
  <c r="AR4" i="14"/>
  <c r="CQ4" i="14" s="1"/>
  <c r="AQ4" i="14"/>
  <c r="CP4" i="14" s="1"/>
  <c r="AP4" i="14"/>
  <c r="CO4" i="14" s="1"/>
  <c r="AO4" i="14"/>
  <c r="CN4" i="14" s="1"/>
  <c r="AN4" i="14"/>
  <c r="CM4" i="14" s="1"/>
  <c r="AM4" i="14"/>
  <c r="CL4" i="14" s="1"/>
  <c r="AL4" i="14"/>
  <c r="CK4" i="14" s="1"/>
  <c r="AK4" i="14"/>
  <c r="CJ4" i="14" s="1"/>
  <c r="AJ4" i="14"/>
  <c r="CI4" i="14" s="1"/>
  <c r="AI4" i="14"/>
  <c r="CH4" i="14" s="1"/>
  <c r="AH4" i="14"/>
  <c r="CG4" i="14" s="1"/>
  <c r="AG4" i="14"/>
  <c r="CF4" i="14" s="1"/>
  <c r="AF4" i="14"/>
  <c r="CE4" i="14" s="1"/>
  <c r="AE4" i="14"/>
  <c r="CD4" i="14" s="1"/>
  <c r="AD4" i="14"/>
  <c r="CC4" i="14" s="1"/>
  <c r="AC4" i="14"/>
  <c r="CB4" i="14" s="1"/>
  <c r="AB4" i="14"/>
  <c r="CA4" i="14" s="1"/>
  <c r="AA4" i="14"/>
  <c r="BZ4" i="14" s="1"/>
  <c r="Z4" i="14"/>
  <c r="BY4" i="14" s="1"/>
  <c r="Y4" i="14"/>
  <c r="BX4" i="14" s="1"/>
  <c r="X4" i="14"/>
  <c r="BW4" i="14" s="1"/>
  <c r="W4" i="14"/>
  <c r="BV4" i="14" s="1"/>
  <c r="V4" i="14"/>
  <c r="BU4" i="14" s="1"/>
  <c r="U4" i="14"/>
  <c r="BT4" i="14" s="1"/>
  <c r="T4" i="14"/>
  <c r="BS4" i="14" s="1"/>
  <c r="S4" i="14"/>
  <c r="BR4" i="14" s="1"/>
  <c r="R4" i="14"/>
  <c r="BQ4" i="14" s="1"/>
  <c r="Q4" i="14"/>
  <c r="BP4" i="14" s="1"/>
  <c r="P4" i="14"/>
  <c r="BO4" i="14" s="1"/>
  <c r="O4" i="14"/>
  <c r="BN4" i="14" s="1"/>
  <c r="N4" i="14"/>
  <c r="BM4" i="14" s="1"/>
  <c r="M4" i="14"/>
  <c r="BL4" i="14" s="1"/>
  <c r="L4" i="14"/>
  <c r="BK4" i="14" s="1"/>
  <c r="K4" i="14"/>
  <c r="BJ4" i="14" s="1"/>
  <c r="AV3" i="14"/>
  <c r="CU3" i="14" s="1"/>
  <c r="AU3" i="14"/>
  <c r="CT3" i="14" s="1"/>
  <c r="AT3" i="14"/>
  <c r="CS3" i="14" s="1"/>
  <c r="AS3" i="14"/>
  <c r="CR3" i="14" s="1"/>
  <c r="AR3" i="14"/>
  <c r="CQ3" i="14" s="1"/>
  <c r="AQ3" i="14"/>
  <c r="CP3" i="14" s="1"/>
  <c r="AP3" i="14"/>
  <c r="CO3" i="14" s="1"/>
  <c r="AO3" i="14"/>
  <c r="CN3" i="14" s="1"/>
  <c r="AN3" i="14"/>
  <c r="CM3" i="14" s="1"/>
  <c r="AM3" i="14"/>
  <c r="CL3" i="14" s="1"/>
  <c r="AL3" i="14"/>
  <c r="CK3" i="14" s="1"/>
  <c r="AK3" i="14"/>
  <c r="CJ3" i="14" s="1"/>
  <c r="AJ3" i="14"/>
  <c r="CI3" i="14" s="1"/>
  <c r="AI3" i="14"/>
  <c r="CH3" i="14" s="1"/>
  <c r="AH3" i="14"/>
  <c r="CG3" i="14" s="1"/>
  <c r="AG3" i="14"/>
  <c r="CF3" i="14" s="1"/>
  <c r="AF3" i="14"/>
  <c r="CE3" i="14" s="1"/>
  <c r="AE3" i="14"/>
  <c r="CD3" i="14" s="1"/>
  <c r="AD3" i="14"/>
  <c r="CC3" i="14" s="1"/>
  <c r="AC3" i="14"/>
  <c r="CB3" i="14" s="1"/>
  <c r="AB3" i="14"/>
  <c r="CA3" i="14" s="1"/>
  <c r="AA3" i="14"/>
  <c r="BZ3" i="14" s="1"/>
  <c r="Z3" i="14"/>
  <c r="BY3" i="14" s="1"/>
  <c r="Y3" i="14"/>
  <c r="BX3" i="14" s="1"/>
  <c r="X3" i="14"/>
  <c r="BW3" i="14" s="1"/>
  <c r="W3" i="14"/>
  <c r="BV3" i="14" s="1"/>
  <c r="V3" i="14"/>
  <c r="BU3" i="14" s="1"/>
  <c r="U3" i="14"/>
  <c r="BT3" i="14" s="1"/>
  <c r="T3" i="14"/>
  <c r="BS3" i="14" s="1"/>
  <c r="S3" i="14"/>
  <c r="BR3" i="14" s="1"/>
  <c r="R3" i="14"/>
  <c r="BQ3" i="14" s="1"/>
  <c r="Q3" i="14"/>
  <c r="BP3" i="14" s="1"/>
  <c r="P3" i="14"/>
  <c r="BO3" i="14" s="1"/>
  <c r="O3" i="14"/>
  <c r="BN3" i="14" s="1"/>
  <c r="N3" i="14"/>
  <c r="BM3" i="14" s="1"/>
  <c r="M3" i="14"/>
  <c r="BL3" i="14" s="1"/>
  <c r="L3" i="14"/>
  <c r="BK3" i="14" s="1"/>
  <c r="K3" i="14"/>
  <c r="BJ3" i="14" s="1"/>
  <c r="AV2" i="14"/>
  <c r="CU2" i="14" s="1"/>
  <c r="CU27" i="14" s="1"/>
  <c r="AU2" i="14"/>
  <c r="CT2" i="14" s="1"/>
  <c r="AT2" i="14"/>
  <c r="CS2" i="14" s="1"/>
  <c r="AS2" i="14"/>
  <c r="CR2" i="14" s="1"/>
  <c r="AR2" i="14"/>
  <c r="CQ2" i="14" s="1"/>
  <c r="AQ2" i="14"/>
  <c r="CP2" i="14" s="1"/>
  <c r="AP2" i="14"/>
  <c r="CO2" i="14" s="1"/>
  <c r="AO2" i="14"/>
  <c r="CN2" i="14" s="1"/>
  <c r="AN2" i="14"/>
  <c r="CM2" i="14" s="1"/>
  <c r="CM27" i="14" s="1"/>
  <c r="AM2" i="14"/>
  <c r="CL2" i="14" s="1"/>
  <c r="CL27" i="14" s="1"/>
  <c r="AL2" i="14"/>
  <c r="CK2" i="14" s="1"/>
  <c r="AK2" i="14"/>
  <c r="CJ2" i="14" s="1"/>
  <c r="AJ2" i="14"/>
  <c r="CI2" i="14" s="1"/>
  <c r="AI2" i="14"/>
  <c r="CH2" i="14" s="1"/>
  <c r="AH2" i="14"/>
  <c r="CG2" i="14" s="1"/>
  <c r="AG2" i="14"/>
  <c r="CF2" i="14" s="1"/>
  <c r="AF2" i="14"/>
  <c r="CE2" i="14" s="1"/>
  <c r="CE27" i="14" s="1"/>
  <c r="AE2" i="14"/>
  <c r="CD2" i="14" s="1"/>
  <c r="CD27" i="14" s="1"/>
  <c r="AD2" i="14"/>
  <c r="CC2" i="14" s="1"/>
  <c r="AC2" i="14"/>
  <c r="CB2" i="14" s="1"/>
  <c r="AB2" i="14"/>
  <c r="CA2" i="14" s="1"/>
  <c r="AA2" i="14"/>
  <c r="BZ2" i="14" s="1"/>
  <c r="Z2" i="14"/>
  <c r="BY2" i="14" s="1"/>
  <c r="Y2" i="14"/>
  <c r="BX2" i="14" s="1"/>
  <c r="X2" i="14"/>
  <c r="BW2" i="14" s="1"/>
  <c r="BW27" i="14" s="1"/>
  <c r="W2" i="14"/>
  <c r="BV2" i="14" s="1"/>
  <c r="BV27" i="14" s="1"/>
  <c r="V2" i="14"/>
  <c r="BU2" i="14" s="1"/>
  <c r="U2" i="14"/>
  <c r="BT2" i="14" s="1"/>
  <c r="T2" i="14"/>
  <c r="BS2" i="14" s="1"/>
  <c r="S2" i="14"/>
  <c r="BR2" i="14" s="1"/>
  <c r="R2" i="14"/>
  <c r="BQ2" i="14" s="1"/>
  <c r="Q2" i="14"/>
  <c r="BP2" i="14" s="1"/>
  <c r="P2" i="14"/>
  <c r="BO2" i="14" s="1"/>
  <c r="BO27" i="14" s="1"/>
  <c r="O2" i="14"/>
  <c r="BN2" i="14" s="1"/>
  <c r="BN27" i="14" s="1"/>
  <c r="DD18" i="14" s="1"/>
  <c r="N2" i="14"/>
  <c r="BM2" i="14" s="1"/>
  <c r="M2" i="14"/>
  <c r="BL2" i="14" s="1"/>
  <c r="L2" i="14"/>
  <c r="BK2" i="14" s="1"/>
  <c r="K2" i="14"/>
  <c r="BJ2" i="14" s="1"/>
  <c r="H4" i="29" l="1"/>
  <c r="E4" i="29"/>
  <c r="D4" i="29"/>
  <c r="I4" i="29"/>
  <c r="G4" i="29"/>
  <c r="K4" i="29" s="1"/>
  <c r="EB13" i="14"/>
  <c r="CT27" i="14"/>
  <c r="EJ13" i="14" s="1"/>
  <c r="DT13" i="14"/>
  <c r="R48" i="6"/>
  <c r="R47" i="6"/>
  <c r="R56" i="6" s="1"/>
  <c r="R44" i="6"/>
  <c r="R55" i="6" s="1"/>
  <c r="R45" i="6"/>
  <c r="R42" i="6"/>
  <c r="R41" i="6"/>
  <c r="R54" i="6" s="1"/>
  <c r="BR27" i="14"/>
  <c r="DH17" i="14" s="1"/>
  <c r="BZ27" i="14"/>
  <c r="DP13" i="14" s="1"/>
  <c r="CP27" i="14"/>
  <c r="EF4" i="14" s="1"/>
  <c r="BJ27" i="14"/>
  <c r="CZ23" i="14" s="1"/>
  <c r="CH27" i="14"/>
  <c r="DX4" i="14" s="1"/>
  <c r="DL24" i="14"/>
  <c r="CN27" i="14"/>
  <c r="ED3" i="14" s="1"/>
  <c r="BP27" i="14"/>
  <c r="DF3" i="14" s="1"/>
  <c r="BX27" i="14"/>
  <c r="DN22" i="14" s="1"/>
  <c r="CF27" i="14"/>
  <c r="DV5" i="14" s="1"/>
  <c r="CZ4" i="14"/>
  <c r="DM4" i="14"/>
  <c r="EK4" i="14"/>
  <c r="EC4" i="14"/>
  <c r="DE4" i="14"/>
  <c r="DU4" i="14"/>
  <c r="DD4" i="14"/>
  <c r="DL4" i="14"/>
  <c r="DT4" i="14"/>
  <c r="EB4" i="14"/>
  <c r="BT27" i="14"/>
  <c r="DJ17" i="14" s="1"/>
  <c r="CJ27" i="14"/>
  <c r="DZ21" i="14" s="1"/>
  <c r="CR27" i="14"/>
  <c r="EH21" i="14" s="1"/>
  <c r="DD3" i="14"/>
  <c r="DL3" i="14"/>
  <c r="DT3" i="14"/>
  <c r="EB3" i="14"/>
  <c r="BL27" i="14"/>
  <c r="DB23" i="14" s="1"/>
  <c r="CB27" i="14"/>
  <c r="DR21" i="14" s="1"/>
  <c r="DE3" i="14"/>
  <c r="DM3" i="14"/>
  <c r="DU3" i="14"/>
  <c r="EC3" i="14"/>
  <c r="EK3" i="14"/>
  <c r="CZ3" i="14"/>
  <c r="DX3" i="14"/>
  <c r="BQ27" i="14"/>
  <c r="DG3" i="14" s="1"/>
  <c r="BY27" i="14"/>
  <c r="DO3" i="14" s="1"/>
  <c r="CG27" i="14"/>
  <c r="DW4" i="14" s="1"/>
  <c r="CO27" i="14"/>
  <c r="EE4" i="14" s="1"/>
  <c r="DM21" i="14"/>
  <c r="BM27" i="14"/>
  <c r="DC3" i="14" s="1"/>
  <c r="BU27" i="14"/>
  <c r="DK3" i="14" s="1"/>
  <c r="CC27" i="14"/>
  <c r="DS3" i="14" s="1"/>
  <c r="CK27" i="14"/>
  <c r="EA3" i="14" s="1"/>
  <c r="CS27" i="14"/>
  <c r="EI3" i="14" s="1"/>
  <c r="DD5" i="14"/>
  <c r="DL5" i="14"/>
  <c r="DT5" i="14"/>
  <c r="EB5" i="14"/>
  <c r="EF7" i="14"/>
  <c r="DE8" i="14"/>
  <c r="DM8" i="14"/>
  <c r="DU8" i="14"/>
  <c r="EC8" i="14"/>
  <c r="EK8" i="14"/>
  <c r="DD9" i="14"/>
  <c r="DL9" i="14"/>
  <c r="DT9" i="14"/>
  <c r="EB9" i="14"/>
  <c r="CZ11" i="14"/>
  <c r="DD13" i="14"/>
  <c r="DL13" i="14"/>
  <c r="DD17" i="14"/>
  <c r="DL17" i="14"/>
  <c r="DD21" i="14"/>
  <c r="DL21" i="14"/>
  <c r="DT21" i="14"/>
  <c r="EB21" i="14"/>
  <c r="DE5" i="14"/>
  <c r="DM5" i="14"/>
  <c r="DU5" i="14"/>
  <c r="EC5" i="14"/>
  <c r="EK5" i="14"/>
  <c r="DE9" i="14"/>
  <c r="DD8" i="14"/>
  <c r="DL8" i="14"/>
  <c r="BK27" i="14"/>
  <c r="DA19" i="14" s="1"/>
  <c r="BS27" i="14"/>
  <c r="DI23" i="14" s="1"/>
  <c r="CA27" i="14"/>
  <c r="DQ7" i="14" s="1"/>
  <c r="CQ27" i="14"/>
  <c r="EG9" i="14" s="1"/>
  <c r="DG9" i="14"/>
  <c r="DE12" i="14"/>
  <c r="DM12" i="14"/>
  <c r="DU12" i="14"/>
  <c r="EC12" i="14"/>
  <c r="EK12" i="14"/>
  <c r="DE20" i="14"/>
  <c r="CI27" i="14"/>
  <c r="DY9" i="14" s="1"/>
  <c r="CZ5" i="14"/>
  <c r="DP5" i="14"/>
  <c r="DD7" i="14"/>
  <c r="DL7" i="14"/>
  <c r="DT7" i="14"/>
  <c r="EB7" i="14"/>
  <c r="EJ7" i="14"/>
  <c r="DM9" i="14"/>
  <c r="DU9" i="14"/>
  <c r="EC9" i="14"/>
  <c r="EK9" i="14"/>
  <c r="DE13" i="14"/>
  <c r="DM13" i="14"/>
  <c r="DU13" i="14"/>
  <c r="EC13" i="14"/>
  <c r="DE17" i="14"/>
  <c r="DM17" i="14"/>
  <c r="DU17" i="14"/>
  <c r="EC17" i="14"/>
  <c r="EK17" i="14"/>
  <c r="DE21" i="14"/>
  <c r="DV22" i="14"/>
  <c r="DP6" i="14"/>
  <c r="DX6" i="14"/>
  <c r="EF6" i="14"/>
  <c r="DT8" i="14"/>
  <c r="EB8" i="14"/>
  <c r="CZ10" i="14"/>
  <c r="DN13" i="14"/>
  <c r="DV13" i="14"/>
  <c r="CZ14" i="14"/>
  <c r="DP14" i="14"/>
  <c r="DD16" i="14"/>
  <c r="DL16" i="14"/>
  <c r="DN17" i="14"/>
  <c r="CZ22" i="14"/>
  <c r="DP22" i="14"/>
  <c r="DX22" i="14"/>
  <c r="EF22" i="14"/>
  <c r="DD24" i="14"/>
  <c r="DE16" i="14"/>
  <c r="DM16" i="14"/>
  <c r="DU16" i="14"/>
  <c r="EC16" i="14"/>
  <c r="EK16" i="14"/>
  <c r="DM20" i="14"/>
  <c r="DU20" i="14"/>
  <c r="EC20" i="14"/>
  <c r="EK20" i="14"/>
  <c r="DE24" i="14"/>
  <c r="DM24" i="14"/>
  <c r="DU24" i="14"/>
  <c r="EC24" i="14"/>
  <c r="EK24" i="14"/>
  <c r="CZ9" i="14"/>
  <c r="EF9" i="14"/>
  <c r="DD11" i="14"/>
  <c r="DL11" i="14"/>
  <c r="DT11" i="14"/>
  <c r="EB11" i="14"/>
  <c r="CZ13" i="14"/>
  <c r="DX13" i="14"/>
  <c r="EF13" i="14"/>
  <c r="DZ14" i="14"/>
  <c r="DD15" i="14"/>
  <c r="DL15" i="14"/>
  <c r="DT15" i="14"/>
  <c r="EB15" i="14"/>
  <c r="CZ17" i="14"/>
  <c r="DP17" i="14"/>
  <c r="EF17" i="14"/>
  <c r="DD19" i="14"/>
  <c r="CZ21" i="14"/>
  <c r="EF21" i="14"/>
  <c r="DE7" i="14"/>
  <c r="DM7" i="14"/>
  <c r="DU7" i="14"/>
  <c r="EC7" i="14"/>
  <c r="EK7" i="14"/>
  <c r="DE11" i="14"/>
  <c r="DM11" i="14"/>
  <c r="DU11" i="14"/>
  <c r="EC11" i="14"/>
  <c r="EK11" i="14"/>
  <c r="DE15" i="14"/>
  <c r="DE23" i="14"/>
  <c r="DD6" i="14"/>
  <c r="DL6" i="14"/>
  <c r="DT6" i="14"/>
  <c r="EB6" i="14"/>
  <c r="CZ8" i="14"/>
  <c r="DX8" i="14"/>
  <c r="EF8" i="14"/>
  <c r="DD10" i="14"/>
  <c r="CZ12" i="14"/>
  <c r="DD14" i="14"/>
  <c r="DL14" i="14"/>
  <c r="DT14" i="14"/>
  <c r="EB14" i="14"/>
  <c r="CZ16" i="14"/>
  <c r="DD22" i="14"/>
  <c r="DL22" i="14"/>
  <c r="DT22" i="14"/>
  <c r="EB22" i="14"/>
  <c r="EJ22" i="14"/>
  <c r="CZ24" i="14"/>
  <c r="DE6" i="14"/>
  <c r="DM6" i="14"/>
  <c r="DU6" i="14"/>
  <c r="EC6" i="14"/>
  <c r="EK6" i="14"/>
  <c r="DE10" i="14"/>
  <c r="DM10" i="14"/>
  <c r="DU10" i="14"/>
  <c r="EC10" i="14"/>
  <c r="EK10" i="14"/>
  <c r="DG11" i="14"/>
  <c r="DO11" i="14"/>
  <c r="DE14" i="14"/>
  <c r="DM14" i="14"/>
  <c r="DU14" i="14"/>
  <c r="EC14" i="14"/>
  <c r="EK14" i="14"/>
  <c r="DE18" i="14"/>
  <c r="DM18" i="14"/>
  <c r="DU18" i="14"/>
  <c r="EC18" i="14"/>
  <c r="EK18" i="14"/>
  <c r="DE22" i="14"/>
  <c r="DL19" i="14"/>
  <c r="DT19" i="14"/>
  <c r="EB19" i="14"/>
  <c r="EJ19" i="14"/>
  <c r="DD23" i="14"/>
  <c r="DL23" i="14"/>
  <c r="DT23" i="14"/>
  <c r="EB23" i="14"/>
  <c r="DV24" i="14"/>
  <c r="DM15" i="14"/>
  <c r="DU15" i="14"/>
  <c r="EC15" i="14"/>
  <c r="EK15" i="14"/>
  <c r="EE16" i="14"/>
  <c r="DE19" i="14"/>
  <c r="DM19" i="14"/>
  <c r="DU19" i="14"/>
  <c r="EC19" i="14"/>
  <c r="EK19" i="14"/>
  <c r="DW20" i="14"/>
  <c r="DM23" i="14"/>
  <c r="DU23" i="14"/>
  <c r="EC23" i="14"/>
  <c r="EK23" i="14"/>
  <c r="DL10" i="14"/>
  <c r="DT10" i="14"/>
  <c r="EB10" i="14"/>
  <c r="EJ10" i="14"/>
  <c r="DV11" i="14"/>
  <c r="EF12" i="14"/>
  <c r="DN15" i="14"/>
  <c r="DV15" i="14"/>
  <c r="DP16" i="14"/>
  <c r="DX16" i="14"/>
  <c r="EF16" i="14"/>
  <c r="DL18" i="14"/>
  <c r="DT18" i="14"/>
  <c r="EB18" i="14"/>
  <c r="EJ18" i="14"/>
  <c r="DN19" i="14"/>
  <c r="EF20" i="14"/>
  <c r="DV23" i="14"/>
  <c r="EF24" i="14"/>
  <c r="DM22" i="14"/>
  <c r="DU22" i="14"/>
  <c r="EC22" i="14"/>
  <c r="EK22" i="14"/>
  <c r="DW23" i="14"/>
  <c r="EJ9" i="14"/>
  <c r="DV10" i="14"/>
  <c r="DP11" i="14"/>
  <c r="DP15" i="14"/>
  <c r="DX15" i="14"/>
  <c r="EF15" i="14"/>
  <c r="DT17" i="14"/>
  <c r="EB17" i="14"/>
  <c r="EJ17" i="14"/>
  <c r="DP19" i="14"/>
  <c r="DX19" i="14"/>
  <c r="EF19" i="14"/>
  <c r="DH23" i="14"/>
  <c r="DP23" i="14"/>
  <c r="EF23" i="14"/>
  <c r="EK13" i="14"/>
  <c r="DU21" i="14"/>
  <c r="EC21" i="14"/>
  <c r="EK21" i="14"/>
  <c r="EE22" i="14"/>
  <c r="DX10" i="14"/>
  <c r="DD12" i="14"/>
  <c r="DL12" i="14"/>
  <c r="DT12" i="14"/>
  <c r="EB12" i="14"/>
  <c r="DT16" i="14"/>
  <c r="EB16" i="14"/>
  <c r="DV17" i="14"/>
  <c r="DH18" i="14"/>
  <c r="DX18" i="14"/>
  <c r="EF18" i="14"/>
  <c r="DD20" i="14"/>
  <c r="DL20" i="14"/>
  <c r="DT20" i="14"/>
  <c r="EB20" i="14"/>
  <c r="EJ20" i="14"/>
  <c r="DT24" i="14"/>
  <c r="EB24" i="14"/>
  <c r="EJ24" i="14"/>
  <c r="DP4" i="14" l="1"/>
  <c r="DP8" i="14"/>
  <c r="DP21" i="14"/>
  <c r="DP7" i="14"/>
  <c r="DP10" i="14"/>
  <c r="J4" i="29"/>
  <c r="M4" i="29"/>
  <c r="O4" i="29" s="1"/>
  <c r="N4" i="29"/>
  <c r="L4" i="29"/>
  <c r="EA6" i="14"/>
  <c r="DN16" i="14"/>
  <c r="EJ16" i="14"/>
  <c r="EF10" i="14"/>
  <c r="EA16" i="14"/>
  <c r="DZ12" i="14"/>
  <c r="DH12" i="14"/>
  <c r="EJ23" i="14"/>
  <c r="EJ14" i="14"/>
  <c r="DR5" i="14"/>
  <c r="EI10" i="14"/>
  <c r="EJ15" i="14"/>
  <c r="EA15" i="14"/>
  <c r="EJ8" i="14"/>
  <c r="EJ5" i="14"/>
  <c r="EJ3" i="14"/>
  <c r="EJ4" i="14"/>
  <c r="EE14" i="14"/>
  <c r="EF11" i="14"/>
  <c r="DH21" i="14"/>
  <c r="DN12" i="14"/>
  <c r="DN8" i="14"/>
  <c r="EF14" i="14"/>
  <c r="EF5" i="14"/>
  <c r="EJ21" i="14"/>
  <c r="DG14" i="14"/>
  <c r="EA22" i="14"/>
  <c r="EJ11" i="14"/>
  <c r="DH11" i="14"/>
  <c r="EJ12" i="14"/>
  <c r="DH10" i="14"/>
  <c r="EE20" i="14"/>
  <c r="EE7" i="14"/>
  <c r="EJ6" i="14"/>
  <c r="DH5" i="14"/>
  <c r="DJ20" i="14"/>
  <c r="DB18" i="14"/>
  <c r="ED8" i="14"/>
  <c r="DC17" i="14"/>
  <c r="ED9" i="14"/>
  <c r="DJ21" i="14"/>
  <c r="ED23" i="14"/>
  <c r="DC21" i="14"/>
  <c r="ED17" i="14"/>
  <c r="EF3" i="14"/>
  <c r="DY18" i="14"/>
  <c r="ED22" i="14"/>
  <c r="DP18" i="14"/>
  <c r="DK16" i="14"/>
  <c r="DP24" i="14"/>
  <c r="ED15" i="14"/>
  <c r="EA13" i="14"/>
  <c r="DY8" i="14"/>
  <c r="ED12" i="14"/>
  <c r="DP9" i="14"/>
  <c r="ED14" i="14"/>
  <c r="DP3" i="14"/>
  <c r="ED18" i="14"/>
  <c r="ED7" i="14"/>
  <c r="ED16" i="14"/>
  <c r="ED21" i="14"/>
  <c r="CZ19" i="14"/>
  <c r="CZ15" i="14"/>
  <c r="DZ11" i="14"/>
  <c r="DV18" i="14"/>
  <c r="DP20" i="14"/>
  <c r="DZ17" i="14"/>
  <c r="DP12" i="14"/>
  <c r="DW24" i="14"/>
  <c r="DV7" i="14"/>
  <c r="DG20" i="14"/>
  <c r="DV16" i="14"/>
  <c r="DZ6" i="14"/>
  <c r="CZ18" i="14"/>
  <c r="CZ6" i="14"/>
  <c r="DH4" i="14"/>
  <c r="ED19" i="14"/>
  <c r="ED20" i="14"/>
  <c r="EE6" i="14"/>
  <c r="DY19" i="14"/>
  <c r="ED10" i="14"/>
  <c r="EE19" i="14"/>
  <c r="DV19" i="14"/>
  <c r="ED11" i="14"/>
  <c r="ED24" i="14"/>
  <c r="DV20" i="14"/>
  <c r="CZ20" i="14"/>
  <c r="EA19" i="14"/>
  <c r="ED6" i="14"/>
  <c r="DG6" i="14"/>
  <c r="CZ7" i="14"/>
  <c r="DV3" i="14"/>
  <c r="R43" i="6"/>
  <c r="R62" i="6"/>
  <c r="R46" i="6"/>
  <c r="R63" i="6"/>
  <c r="R49" i="6"/>
  <c r="R64" i="6"/>
  <c r="DW22" i="14"/>
  <c r="DX24" i="14"/>
  <c r="DH20" i="14"/>
  <c r="EH17" i="14"/>
  <c r="DN24" i="14"/>
  <c r="DN20" i="14"/>
  <c r="DH9" i="14"/>
  <c r="DN6" i="14"/>
  <c r="DN21" i="14"/>
  <c r="DH14" i="14"/>
  <c r="DX5" i="14"/>
  <c r="DH19" i="14"/>
  <c r="DW14" i="14"/>
  <c r="DX11" i="14"/>
  <c r="DX12" i="14"/>
  <c r="DW16" i="14"/>
  <c r="DH8" i="14"/>
  <c r="DH7" i="14"/>
  <c r="DS20" i="14"/>
  <c r="DS21" i="14"/>
  <c r="DN23" i="14"/>
  <c r="DW11" i="14"/>
  <c r="DH24" i="14"/>
  <c r="DX17" i="14"/>
  <c r="DH13" i="14"/>
  <c r="EH6" i="14"/>
  <c r="DX23" i="14"/>
  <c r="DH15" i="14"/>
  <c r="DN10" i="14"/>
  <c r="DW15" i="14"/>
  <c r="DH16" i="14"/>
  <c r="DN7" i="14"/>
  <c r="DW8" i="14"/>
  <c r="DX21" i="14"/>
  <c r="DH22" i="14"/>
  <c r="DN9" i="14"/>
  <c r="DN5" i="14"/>
  <c r="DH6" i="14"/>
  <c r="DH3" i="14"/>
  <c r="DN3" i="14"/>
  <c r="DN18" i="14"/>
  <c r="EH12" i="14"/>
  <c r="DW19" i="14"/>
  <c r="DX20" i="14"/>
  <c r="DN11" i="14"/>
  <c r="DW7" i="14"/>
  <c r="DX9" i="14"/>
  <c r="DN14" i="14"/>
  <c r="DX14" i="14"/>
  <c r="EI18" i="14"/>
  <c r="EI23" i="14"/>
  <c r="DO9" i="14"/>
  <c r="DF12" i="14"/>
  <c r="DX7" i="14"/>
  <c r="DF23" i="14"/>
  <c r="DS10" i="14"/>
  <c r="DF6" i="14"/>
  <c r="DF13" i="14"/>
  <c r="DF24" i="14"/>
  <c r="DF16" i="14"/>
  <c r="DF18" i="14"/>
  <c r="DF19" i="14"/>
  <c r="DS19" i="14"/>
  <c r="DF9" i="14"/>
  <c r="DF14" i="14"/>
  <c r="ED4" i="14"/>
  <c r="DF15" i="14"/>
  <c r="DF11" i="14"/>
  <c r="DF8" i="14"/>
  <c r="DF5" i="14"/>
  <c r="DF4" i="14"/>
  <c r="DF10" i="14"/>
  <c r="ED5" i="14"/>
  <c r="DF20" i="14"/>
  <c r="DF7" i="14"/>
  <c r="DF17" i="14"/>
  <c r="DF22" i="14"/>
  <c r="EI20" i="14"/>
  <c r="DO14" i="14"/>
  <c r="DO19" i="14"/>
  <c r="DO24" i="14"/>
  <c r="EI24" i="14"/>
  <c r="DO20" i="14"/>
  <c r="DO16" i="14"/>
  <c r="DO15" i="14"/>
  <c r="EI9" i="14"/>
  <c r="EI15" i="14"/>
  <c r="EI16" i="14"/>
  <c r="EI5" i="14"/>
  <c r="EI6" i="14"/>
  <c r="DO21" i="14"/>
  <c r="DO17" i="14"/>
  <c r="DO13" i="14"/>
  <c r="DO18" i="14"/>
  <c r="DO6" i="14"/>
  <c r="DO22" i="14"/>
  <c r="EI21" i="14"/>
  <c r="DO12" i="14"/>
  <c r="EI11" i="14"/>
  <c r="EI22" i="14"/>
  <c r="DO7" i="14"/>
  <c r="DO8" i="14"/>
  <c r="DO10" i="14"/>
  <c r="DF21" i="14"/>
  <c r="EI14" i="14"/>
  <c r="EI17" i="14"/>
  <c r="DO23" i="14"/>
  <c r="EI13" i="14"/>
  <c r="DG22" i="14"/>
  <c r="DI8" i="14"/>
  <c r="DR14" i="14"/>
  <c r="DK23" i="14"/>
  <c r="DG15" i="14"/>
  <c r="DG21" i="14"/>
  <c r="EA24" i="14"/>
  <c r="DY15" i="14"/>
  <c r="DG24" i="14"/>
  <c r="DY12" i="14"/>
  <c r="EA5" i="14"/>
  <c r="EA18" i="14"/>
  <c r="DG19" i="14"/>
  <c r="DY21" i="14"/>
  <c r="DK13" i="14"/>
  <c r="DY23" i="14"/>
  <c r="DY24" i="14"/>
  <c r="EA21" i="14"/>
  <c r="EA14" i="14"/>
  <c r="DQ12" i="14"/>
  <c r="DG7" i="14"/>
  <c r="DV8" i="14"/>
  <c r="EA11" i="14"/>
  <c r="EA8" i="14"/>
  <c r="DV6" i="14"/>
  <c r="EA20" i="14"/>
  <c r="DG23" i="14"/>
  <c r="EA10" i="14"/>
  <c r="DV21" i="14"/>
  <c r="DV9" i="14"/>
  <c r="DY20" i="14"/>
  <c r="DG16" i="14"/>
  <c r="EA17" i="14"/>
  <c r="EA9" i="14"/>
  <c r="DG12" i="14"/>
  <c r="DY22" i="14"/>
  <c r="DK11" i="14"/>
  <c r="DW6" i="14"/>
  <c r="DK21" i="14"/>
  <c r="DK10" i="14"/>
  <c r="DK19" i="14"/>
  <c r="DY10" i="14"/>
  <c r="DV14" i="14"/>
  <c r="DW9" i="14"/>
  <c r="DK5" i="14"/>
  <c r="DK18" i="14"/>
  <c r="DK12" i="14"/>
  <c r="DV4" i="14"/>
  <c r="DK22" i="14"/>
  <c r="DK17" i="14"/>
  <c r="DK24" i="14"/>
  <c r="DY16" i="14"/>
  <c r="DK9" i="14"/>
  <c r="DY17" i="14"/>
  <c r="DG8" i="14"/>
  <c r="DK6" i="14"/>
  <c r="DV12" i="14"/>
  <c r="DG17" i="14"/>
  <c r="DK15" i="14"/>
  <c r="DK20" i="14"/>
  <c r="DB12" i="14"/>
  <c r="DN4" i="14"/>
  <c r="DK14" i="14"/>
  <c r="DW12" i="14"/>
  <c r="EA23" i="14"/>
  <c r="ED13" i="14"/>
  <c r="DG18" i="14"/>
  <c r="DK8" i="14"/>
  <c r="DR20" i="14"/>
  <c r="EE8" i="14"/>
  <c r="DI18" i="14"/>
  <c r="DB20" i="14"/>
  <c r="DO4" i="14"/>
  <c r="DR9" i="14"/>
  <c r="DI19" i="14"/>
  <c r="DR18" i="14"/>
  <c r="EE11" i="14"/>
  <c r="DI21" i="14"/>
  <c r="DI13" i="14"/>
  <c r="EE12" i="14"/>
  <c r="DI9" i="14"/>
  <c r="DR12" i="14"/>
  <c r="EE24" i="14"/>
  <c r="DA24" i="14"/>
  <c r="DI16" i="14"/>
  <c r="DR19" i="14"/>
  <c r="DR24" i="14"/>
  <c r="DR16" i="14"/>
  <c r="DI24" i="14"/>
  <c r="EE15" i="14"/>
  <c r="DI22" i="14"/>
  <c r="EI19" i="14"/>
  <c r="DY14" i="14"/>
  <c r="DA10" i="14"/>
  <c r="EA12" i="14"/>
  <c r="EI8" i="14"/>
  <c r="EA7" i="14"/>
  <c r="EE5" i="14"/>
  <c r="EE23" i="14"/>
  <c r="DI5" i="14"/>
  <c r="EE21" i="14"/>
  <c r="EE13" i="14"/>
  <c r="DI6" i="14"/>
  <c r="DY11" i="14"/>
  <c r="DO5" i="14"/>
  <c r="DR17" i="14"/>
  <c r="DI20" i="14"/>
  <c r="DI17" i="14"/>
  <c r="DR22" i="14"/>
  <c r="DR11" i="14"/>
  <c r="DR23" i="14"/>
  <c r="DR15" i="14"/>
  <c r="DR10" i="14"/>
  <c r="DW13" i="14"/>
  <c r="EE10" i="14"/>
  <c r="DZ8" i="14"/>
  <c r="DJ8" i="14"/>
  <c r="DJ13" i="14"/>
  <c r="DA21" i="14"/>
  <c r="DA17" i="14"/>
  <c r="DA5" i="14"/>
  <c r="DJ6" i="14"/>
  <c r="DJ5" i="14"/>
  <c r="DA16" i="14"/>
  <c r="DA12" i="14"/>
  <c r="DA8" i="14"/>
  <c r="DA9" i="14"/>
  <c r="DJ11" i="14"/>
  <c r="DJ7" i="14"/>
  <c r="DJ4" i="14"/>
  <c r="DS14" i="14"/>
  <c r="DJ19" i="14"/>
  <c r="DJ24" i="14"/>
  <c r="DS24" i="14"/>
  <c r="DS16" i="14"/>
  <c r="DJ12" i="14"/>
  <c r="DS11" i="14"/>
  <c r="DJ23" i="14"/>
  <c r="DJ15" i="14"/>
  <c r="DA20" i="14"/>
  <c r="DS17" i="14"/>
  <c r="DS18" i="14"/>
  <c r="DJ22" i="14"/>
  <c r="DJ14" i="14"/>
  <c r="DJ10" i="14"/>
  <c r="DA22" i="14"/>
  <c r="DJ16" i="14"/>
  <c r="DS22" i="14"/>
  <c r="DJ18" i="14"/>
  <c r="DS13" i="14"/>
  <c r="DS9" i="14"/>
  <c r="DS5" i="14"/>
  <c r="DJ9" i="14"/>
  <c r="DS6" i="14"/>
  <c r="DA14" i="14"/>
  <c r="DA11" i="14"/>
  <c r="DY13" i="14"/>
  <c r="DA13" i="14"/>
  <c r="DS23" i="14"/>
  <c r="DI14" i="14"/>
  <c r="DI3" i="14"/>
  <c r="EH4" i="14"/>
  <c r="DS12" i="14"/>
  <c r="DA18" i="14"/>
  <c r="DY6" i="14"/>
  <c r="DW18" i="14"/>
  <c r="DW10" i="14"/>
  <c r="DS8" i="14"/>
  <c r="DW17" i="14"/>
  <c r="DY5" i="14"/>
  <c r="DS15" i="14"/>
  <c r="DA6" i="14"/>
  <c r="DW21" i="14"/>
  <c r="DS7" i="14"/>
  <c r="EA4" i="14"/>
  <c r="DS4" i="14"/>
  <c r="DQ15" i="14"/>
  <c r="DQ16" i="14"/>
  <c r="DC13" i="14"/>
  <c r="DQ10" i="14"/>
  <c r="DC16" i="14"/>
  <c r="DC12" i="14"/>
  <c r="EE9" i="14"/>
  <c r="DC7" i="14"/>
  <c r="DC19" i="14"/>
  <c r="DC4" i="14"/>
  <c r="DJ3" i="14"/>
  <c r="DQ19" i="14"/>
  <c r="DC9" i="14"/>
  <c r="DQ9" i="14"/>
  <c r="DG13" i="14"/>
  <c r="DG5" i="14"/>
  <c r="DQ3" i="14"/>
  <c r="DQ13" i="14"/>
  <c r="DQ8" i="14"/>
  <c r="DC5" i="14"/>
  <c r="DC14" i="14"/>
  <c r="DC10" i="14"/>
  <c r="DC6" i="14"/>
  <c r="DC23" i="14"/>
  <c r="DC15" i="14"/>
  <c r="DQ6" i="14"/>
  <c r="DC24" i="14"/>
  <c r="DQ20" i="14"/>
  <c r="EI7" i="14"/>
  <c r="EI4" i="14"/>
  <c r="DR4" i="14"/>
  <c r="DG4" i="14"/>
  <c r="DQ23" i="14"/>
  <c r="DQ21" i="14"/>
  <c r="DR13" i="14"/>
  <c r="DC22" i="14"/>
  <c r="DC18" i="14"/>
  <c r="DQ5" i="14"/>
  <c r="DQ22" i="14"/>
  <c r="DQ18" i="14"/>
  <c r="DQ14" i="14"/>
  <c r="EI12" i="14"/>
  <c r="DG10" i="14"/>
  <c r="DR8" i="14"/>
  <c r="EG4" i="14"/>
  <c r="DC20" i="14"/>
  <c r="DC8" i="14"/>
  <c r="DY4" i="14"/>
  <c r="DQ24" i="14"/>
  <c r="DQ17" i="14"/>
  <c r="DR6" i="14"/>
  <c r="DR7" i="14"/>
  <c r="EE18" i="14"/>
  <c r="DY7" i="14"/>
  <c r="EE17" i="14"/>
  <c r="DC11" i="14"/>
  <c r="DK7" i="14"/>
  <c r="DW5" i="14"/>
  <c r="DK4" i="14"/>
  <c r="EH18" i="14"/>
  <c r="DZ4" i="14"/>
  <c r="DB3" i="14"/>
  <c r="DZ23" i="14"/>
  <c r="EH19" i="14"/>
  <c r="DZ16" i="14"/>
  <c r="DZ18" i="14"/>
  <c r="DB13" i="14"/>
  <c r="DB9" i="14"/>
  <c r="DZ5" i="14"/>
  <c r="EH10" i="14"/>
  <c r="DB24" i="14"/>
  <c r="DA3" i="14"/>
  <c r="DQ4" i="14"/>
  <c r="DB21" i="14"/>
  <c r="DB14" i="14"/>
  <c r="DZ10" i="14"/>
  <c r="DB8" i="14"/>
  <c r="DI4" i="14"/>
  <c r="EH20" i="14"/>
  <c r="DB5" i="14"/>
  <c r="DB6" i="14"/>
  <c r="DB4" i="14"/>
  <c r="DA4" i="14"/>
  <c r="EH24" i="14"/>
  <c r="DZ20" i="14"/>
  <c r="EH22" i="14"/>
  <c r="DB19" i="14"/>
  <c r="DB11" i="14"/>
  <c r="EH7" i="14"/>
  <c r="DB16" i="14"/>
  <c r="EE3" i="14"/>
  <c r="EH3" i="14"/>
  <c r="EH23" i="14"/>
  <c r="EH15" i="14"/>
  <c r="DZ24" i="14"/>
  <c r="DB17" i="14"/>
  <c r="EH13" i="14"/>
  <c r="EH9" i="14"/>
  <c r="DB15" i="14"/>
  <c r="DZ22" i="14"/>
  <c r="DB10" i="14"/>
  <c r="DZ7" i="14"/>
  <c r="EG3" i="14"/>
  <c r="DW3" i="14"/>
  <c r="DZ3" i="14"/>
  <c r="EH16" i="14"/>
  <c r="EH5" i="14"/>
  <c r="DB22" i="14"/>
  <c r="DZ19" i="14"/>
  <c r="DZ15" i="14"/>
  <c r="EH11" i="14"/>
  <c r="DZ13" i="14"/>
  <c r="DZ9" i="14"/>
  <c r="EH14" i="14"/>
  <c r="DB7" i="14"/>
  <c r="EH8" i="14"/>
  <c r="DY3" i="14"/>
  <c r="DR3" i="14"/>
  <c r="DQ11" i="14"/>
  <c r="DI10" i="14"/>
  <c r="DA23" i="14"/>
  <c r="DI11" i="14"/>
  <c r="DI7" i="14"/>
  <c r="EG6" i="14"/>
  <c r="EG19" i="14"/>
  <c r="EG15" i="14"/>
  <c r="EG12" i="14"/>
  <c r="EG7" i="14"/>
  <c r="EG8" i="14"/>
  <c r="EG5" i="14"/>
  <c r="EG10" i="14"/>
  <c r="DI12" i="14"/>
  <c r="EG11" i="14"/>
  <c r="EG23" i="14"/>
  <c r="EG17" i="14"/>
  <c r="EG20" i="14"/>
  <c r="EG22" i="14"/>
  <c r="DA7" i="14"/>
  <c r="EG13" i="14"/>
  <c r="EG16" i="14"/>
  <c r="EG18" i="14"/>
  <c r="DI15" i="14"/>
  <c r="EG24" i="14"/>
  <c r="EG21" i="14"/>
  <c r="EG14" i="14"/>
  <c r="DA15" i="14"/>
  <c r="I23" i="3" l="1"/>
  <c r="D25" i="3" l="1"/>
  <c r="C25" i="3"/>
  <c r="B25" i="3"/>
  <c r="A25" i="3"/>
  <c r="R51" i="12"/>
  <c r="Q51" i="12"/>
  <c r="R32" i="12"/>
  <c r="Q32" i="12"/>
  <c r="BQ35" i="17"/>
  <c r="BP35" i="17"/>
  <c r="BO35" i="17"/>
  <c r="BN35" i="17"/>
  <c r="BM35" i="17"/>
  <c r="BL35" i="17"/>
  <c r="BK35" i="17"/>
  <c r="BJ35" i="17"/>
  <c r="BI35" i="17"/>
  <c r="BH35" i="17"/>
  <c r="BG35" i="17"/>
  <c r="BF35" i="17"/>
  <c r="BE35" i="17"/>
  <c r="BD35" i="17"/>
  <c r="BC35" i="17"/>
  <c r="BB35" i="17"/>
  <c r="BA35" i="17"/>
  <c r="AZ35" i="17"/>
  <c r="AY35" i="17"/>
  <c r="AX35" i="17"/>
  <c r="AW35" i="17"/>
  <c r="AV35" i="17"/>
  <c r="AU35" i="17"/>
  <c r="AT35" i="17"/>
  <c r="AS35" i="17"/>
  <c r="AR35" i="17"/>
  <c r="AQ35" i="17"/>
  <c r="AP35" i="17"/>
  <c r="AO35" i="17"/>
  <c r="AN35" i="17"/>
  <c r="AM35" i="17"/>
  <c r="AL35" i="17"/>
  <c r="AK35" i="17"/>
  <c r="AJ35" i="17"/>
  <c r="X35" i="17"/>
  <c r="W35" i="17"/>
  <c r="V35" i="17"/>
  <c r="U35" i="17"/>
  <c r="T35" i="17"/>
  <c r="S35" i="17"/>
  <c r="R35" i="17"/>
  <c r="Q35" i="17"/>
  <c r="P35" i="17"/>
  <c r="O35" i="17"/>
  <c r="M35" i="17"/>
  <c r="L35" i="17"/>
  <c r="K35" i="17"/>
  <c r="J35" i="17"/>
  <c r="I35" i="17"/>
  <c r="H35" i="17"/>
  <c r="BQ34" i="17"/>
  <c r="BP34" i="17"/>
  <c r="BO34" i="17"/>
  <c r="BN34" i="17"/>
  <c r="BM34" i="17"/>
  <c r="BL34" i="17"/>
  <c r="BK34" i="17"/>
  <c r="BJ34" i="17"/>
  <c r="BI34" i="17"/>
  <c r="BH34" i="17"/>
  <c r="BG34" i="17"/>
  <c r="BF34" i="17"/>
  <c r="BE34" i="17"/>
  <c r="BD34" i="17"/>
  <c r="BC34" i="17"/>
  <c r="BB34" i="17"/>
  <c r="BA34" i="17"/>
  <c r="AZ34" i="17"/>
  <c r="AY34" i="17"/>
  <c r="AX34" i="17"/>
  <c r="AW34" i="17"/>
  <c r="AV34" i="17"/>
  <c r="AU34" i="17"/>
  <c r="AT34" i="17"/>
  <c r="AS34" i="17"/>
  <c r="AR34" i="17"/>
  <c r="AQ34" i="17"/>
  <c r="AP34" i="17"/>
  <c r="AO34" i="17"/>
  <c r="AN34" i="17"/>
  <c r="AM34" i="17"/>
  <c r="AL34" i="17"/>
  <c r="AK34" i="17"/>
  <c r="AJ34" i="17"/>
  <c r="AI34" i="17"/>
  <c r="AH34" i="17"/>
  <c r="AG34" i="17"/>
  <c r="AF34" i="17"/>
  <c r="AE34" i="17"/>
  <c r="AD34" i="17"/>
  <c r="AC34" i="17"/>
  <c r="AB34" i="17"/>
  <c r="AA34" i="17"/>
  <c r="Z34" i="17"/>
  <c r="X34" i="17"/>
  <c r="W34" i="17"/>
  <c r="V34" i="17"/>
  <c r="U34" i="17"/>
  <c r="T34" i="17"/>
  <c r="S34" i="17"/>
  <c r="R34" i="17"/>
  <c r="Q34" i="17"/>
  <c r="P34" i="17"/>
  <c r="O34" i="17"/>
  <c r="M34" i="17"/>
  <c r="L34" i="17"/>
  <c r="K34" i="17"/>
  <c r="J34" i="17"/>
  <c r="I34" i="17"/>
  <c r="H34" i="17"/>
  <c r="G35" i="17"/>
  <c r="G34" i="17"/>
  <c r="J25" i="12" l="1"/>
  <c r="BH6" i="14" l="1"/>
  <c r="BH5" i="14"/>
  <c r="BH4" i="14"/>
  <c r="BH3" i="14"/>
  <c r="BH2" i="14"/>
  <c r="BH24" i="14"/>
  <c r="BH23" i="14"/>
  <c r="BH22" i="14"/>
  <c r="BH21" i="14"/>
  <c r="BH20" i="14"/>
  <c r="BH19" i="14"/>
  <c r="BH18" i="14"/>
  <c r="BH17" i="14"/>
  <c r="BH16" i="14"/>
  <c r="BH15" i="14"/>
  <c r="BH14" i="14"/>
  <c r="BH13" i="14"/>
  <c r="BH12" i="14"/>
  <c r="BH11" i="14"/>
  <c r="BH10" i="14"/>
  <c r="BH9" i="14"/>
  <c r="BH8" i="14"/>
  <c r="BH7" i="14"/>
  <c r="BH25" i="14"/>
  <c r="AZ27" i="14"/>
  <c r="AY27" i="14"/>
  <c r="AZ25" i="14"/>
  <c r="AY25" i="14"/>
  <c r="AZ24" i="14"/>
  <c r="AY24" i="14"/>
  <c r="AZ23" i="14"/>
  <c r="AY23" i="14"/>
  <c r="AZ22" i="14"/>
  <c r="AY22" i="14"/>
  <c r="AZ21" i="14"/>
  <c r="AY21" i="14"/>
  <c r="AZ20" i="14"/>
  <c r="AY20" i="14"/>
  <c r="AZ19" i="14"/>
  <c r="AY19" i="14"/>
  <c r="AZ18" i="14"/>
  <c r="AY18" i="14"/>
  <c r="AY17" i="14"/>
  <c r="AZ17" i="14" l="1"/>
  <c r="AZ16" i="14"/>
  <c r="AY16" i="14"/>
  <c r="AZ15" i="14"/>
  <c r="AY15" i="14"/>
  <c r="AZ14" i="14"/>
  <c r="AY14" i="14"/>
  <c r="AZ13" i="14"/>
  <c r="AY13" i="14"/>
  <c r="AZ12" i="14"/>
  <c r="AY12" i="14"/>
  <c r="AZ11" i="14"/>
  <c r="AY11" i="14"/>
  <c r="AZ10" i="14"/>
  <c r="AY10" i="14"/>
  <c r="AZ9" i="14"/>
  <c r="AY9" i="14"/>
  <c r="AZ8" i="14"/>
  <c r="AY8" i="14"/>
  <c r="AZ7" i="14"/>
  <c r="AY7" i="14"/>
  <c r="AZ6" i="14"/>
  <c r="AY6" i="14"/>
  <c r="AZ5" i="14"/>
  <c r="AY5" i="14"/>
  <c r="AZ4" i="14"/>
  <c r="AY4" i="14"/>
  <c r="AZ3" i="14"/>
  <c r="AY3" i="14"/>
  <c r="AZ2" i="14"/>
  <c r="AY2" i="14"/>
  <c r="AX27" i="14"/>
  <c r="AX25" i="14"/>
  <c r="AX24" i="14"/>
  <c r="AX23" i="14"/>
  <c r="AX22" i="14"/>
  <c r="AX21" i="14"/>
  <c r="AX20" i="14"/>
  <c r="AX19" i="14"/>
  <c r="AX18" i="14"/>
  <c r="AX17" i="14"/>
  <c r="AX16" i="14"/>
  <c r="AX15" i="14"/>
  <c r="AX14" i="14"/>
  <c r="AX13" i="14"/>
  <c r="AX12" i="14"/>
  <c r="AX11" i="14"/>
  <c r="AX10" i="14"/>
  <c r="AX9" i="14"/>
  <c r="AX8" i="14"/>
  <c r="AX7" i="14"/>
  <c r="AX6" i="14"/>
  <c r="AX5" i="14"/>
  <c r="AX4" i="14"/>
  <c r="AX3" i="14"/>
  <c r="AX2" i="14"/>
  <c r="AW27" i="14"/>
  <c r="AW25" i="14"/>
  <c r="AW24" i="14"/>
  <c r="AW23" i="14"/>
  <c r="AW22" i="14"/>
  <c r="AW21" i="14"/>
  <c r="AW20" i="14"/>
  <c r="AW19" i="14"/>
  <c r="AW18" i="14"/>
  <c r="AW17" i="14"/>
  <c r="AW16" i="14"/>
  <c r="AW15" i="14"/>
  <c r="AW14" i="14"/>
  <c r="AW13" i="14"/>
  <c r="AW12" i="14"/>
  <c r="AW11" i="14"/>
  <c r="AW10" i="14"/>
  <c r="AW9" i="14"/>
  <c r="AW8" i="14"/>
  <c r="AW7" i="14"/>
  <c r="AW6" i="14"/>
  <c r="AW5" i="14"/>
  <c r="AW4" i="14"/>
  <c r="AW3" i="14"/>
  <c r="AW2" i="14"/>
  <c r="J25" i="14"/>
  <c r="J24" i="14"/>
  <c r="J23" i="14"/>
  <c r="J22" i="14"/>
  <c r="J21" i="14"/>
  <c r="J20" i="14"/>
  <c r="J19" i="14"/>
  <c r="J18" i="14"/>
  <c r="J17" i="14"/>
  <c r="J16" i="14"/>
  <c r="J15" i="14"/>
  <c r="J14" i="14"/>
  <c r="J13" i="14"/>
  <c r="J12" i="14"/>
  <c r="J11" i="14"/>
  <c r="J10" i="14"/>
  <c r="J9" i="14"/>
  <c r="J8" i="14"/>
  <c r="J7" i="14"/>
  <c r="J6" i="14"/>
  <c r="J5" i="14"/>
  <c r="J4" i="14"/>
  <c r="J3" i="14"/>
  <c r="J2" i="14"/>
  <c r="J27" i="14"/>
  <c r="G25" i="14"/>
  <c r="F25" i="14"/>
  <c r="G24" i="14"/>
  <c r="F24" i="14"/>
  <c r="G23" i="14"/>
  <c r="F23" i="14"/>
  <c r="G22" i="14"/>
  <c r="F22" i="14"/>
  <c r="G21" i="14"/>
  <c r="F21" i="14"/>
  <c r="G20" i="14"/>
  <c r="F20" i="14"/>
  <c r="G19" i="14"/>
  <c r="F19" i="14"/>
  <c r="G18" i="14"/>
  <c r="F18" i="14"/>
  <c r="G17" i="14"/>
  <c r="F17" i="14"/>
  <c r="G16" i="14"/>
  <c r="F16" i="14"/>
  <c r="G15" i="14"/>
  <c r="F15" i="14"/>
  <c r="G14" i="14"/>
  <c r="F14" i="14"/>
  <c r="G13" i="14"/>
  <c r="F13" i="14"/>
  <c r="G12" i="14"/>
  <c r="F12" i="14"/>
  <c r="G11" i="14"/>
  <c r="F11" i="14"/>
  <c r="G10" i="14"/>
  <c r="F10" i="14"/>
  <c r="G9" i="14"/>
  <c r="F9" i="14"/>
  <c r="G8" i="14"/>
  <c r="F8" i="14"/>
  <c r="G7" i="14"/>
  <c r="F7" i="14"/>
  <c r="G6" i="14"/>
  <c r="F6" i="14"/>
  <c r="G5" i="14"/>
  <c r="F5" i="14"/>
  <c r="G4" i="14"/>
  <c r="F4" i="14"/>
  <c r="G3" i="14"/>
  <c r="F3" i="14"/>
  <c r="G2" i="14"/>
  <c r="F2" i="14"/>
  <c r="D5" i="6"/>
  <c r="D25" i="14"/>
  <c r="C25" i="14"/>
  <c r="B25" i="14"/>
  <c r="A25" i="14"/>
  <c r="D24" i="14"/>
  <c r="C24" i="14"/>
  <c r="B24" i="14"/>
  <c r="A24" i="14"/>
  <c r="D23" i="14"/>
  <c r="C23" i="14"/>
  <c r="B23" i="14"/>
  <c r="A23" i="14"/>
  <c r="D22" i="14"/>
  <c r="C22" i="14"/>
  <c r="B22" i="14"/>
  <c r="A22" i="14"/>
  <c r="D21" i="14"/>
  <c r="C21" i="14"/>
  <c r="B21" i="14"/>
  <c r="A21" i="14"/>
  <c r="D20" i="14"/>
  <c r="C20" i="14"/>
  <c r="B20" i="14"/>
  <c r="A20" i="14"/>
  <c r="D19" i="14"/>
  <c r="C19" i="14"/>
  <c r="B19" i="14"/>
  <c r="A19" i="14"/>
  <c r="D18" i="14"/>
  <c r="C18" i="14"/>
  <c r="B18" i="14"/>
  <c r="A18" i="14"/>
  <c r="D17" i="14"/>
  <c r="C17" i="14"/>
  <c r="B17" i="14"/>
  <c r="A17" i="14"/>
  <c r="D16" i="14"/>
  <c r="C16" i="14"/>
  <c r="B16" i="14"/>
  <c r="A16" i="14"/>
  <c r="D15" i="14"/>
  <c r="C15" i="14"/>
  <c r="B15" i="14"/>
  <c r="A15" i="14"/>
  <c r="D14" i="14"/>
  <c r="C14" i="14"/>
  <c r="B14" i="14"/>
  <c r="A14" i="14"/>
  <c r="D13" i="14"/>
  <c r="C13" i="14"/>
  <c r="B13" i="14"/>
  <c r="A13" i="14"/>
  <c r="D12" i="14"/>
  <c r="C12" i="14"/>
  <c r="B12" i="14"/>
  <c r="A12" i="14"/>
  <c r="D11" i="14"/>
  <c r="C11" i="14"/>
  <c r="B11" i="14"/>
  <c r="A11" i="14"/>
  <c r="D10" i="14"/>
  <c r="C10" i="14"/>
  <c r="B10" i="14"/>
  <c r="A10" i="14"/>
  <c r="D9" i="14"/>
  <c r="C9" i="14"/>
  <c r="B9" i="14"/>
  <c r="A9" i="14"/>
  <c r="D8" i="14"/>
  <c r="C8" i="14"/>
  <c r="B8" i="14"/>
  <c r="A8" i="14"/>
  <c r="D7" i="14"/>
  <c r="C7" i="14"/>
  <c r="B7" i="14"/>
  <c r="A7" i="14"/>
  <c r="D6" i="14"/>
  <c r="C6" i="14"/>
  <c r="B6" i="14"/>
  <c r="A6" i="14"/>
  <c r="D5" i="14"/>
  <c r="C5" i="14"/>
  <c r="B5" i="14"/>
  <c r="A5" i="14"/>
  <c r="D4" i="14"/>
  <c r="C4" i="14"/>
  <c r="B4" i="14"/>
  <c r="A4" i="14"/>
  <c r="D3" i="14"/>
  <c r="C3" i="14"/>
  <c r="B3" i="14"/>
  <c r="A3" i="14"/>
  <c r="D2" i="14"/>
  <c r="C2" i="14"/>
  <c r="B2" i="14"/>
  <c r="A2" i="14"/>
  <c r="F64" i="6"/>
  <c r="F63" i="6"/>
  <c r="F62" i="6"/>
  <c r="F61" i="6"/>
  <c r="F60" i="6"/>
  <c r="F59" i="6"/>
  <c r="O25" i="12"/>
  <c r="N25" i="12"/>
  <c r="M25" i="12"/>
  <c r="L25" i="12"/>
  <c r="K25" i="12"/>
  <c r="I25" i="12"/>
  <c r="H25" i="12"/>
  <c r="G25" i="12"/>
  <c r="F25" i="12"/>
  <c r="E25" i="12"/>
  <c r="D25" i="12"/>
  <c r="C25" i="12"/>
  <c r="B25" i="12"/>
  <c r="A25" i="12"/>
  <c r="O24" i="12"/>
  <c r="N24" i="12"/>
  <c r="P24" i="6" s="1"/>
  <c r="M24" i="12"/>
  <c r="L24" i="12"/>
  <c r="K24" i="12"/>
  <c r="J24" i="12"/>
  <c r="I24" i="12"/>
  <c r="H24" i="12"/>
  <c r="G24" i="12"/>
  <c r="F24" i="12"/>
  <c r="E24" i="12"/>
  <c r="D24" i="12"/>
  <c r="C24" i="12"/>
  <c r="B24" i="12"/>
  <c r="A24" i="12"/>
  <c r="O23" i="12"/>
  <c r="N23" i="12"/>
  <c r="P23" i="6" s="1"/>
  <c r="M23" i="12"/>
  <c r="O23" i="6" s="1"/>
  <c r="L23" i="12"/>
  <c r="K23" i="12"/>
  <c r="J23" i="12"/>
  <c r="I23" i="12"/>
  <c r="H23" i="12"/>
  <c r="G23" i="12"/>
  <c r="F23" i="12"/>
  <c r="E23" i="12"/>
  <c r="D23" i="12"/>
  <c r="C23" i="12"/>
  <c r="B23" i="12"/>
  <c r="A23" i="12"/>
  <c r="D25" i="17"/>
  <c r="C25" i="17"/>
  <c r="B25" i="17"/>
  <c r="A25" i="17"/>
  <c r="D24" i="17"/>
  <c r="C24" i="17"/>
  <c r="B24" i="17"/>
  <c r="A24" i="17"/>
  <c r="D23" i="17"/>
  <c r="C23" i="17"/>
  <c r="B23" i="17"/>
  <c r="A23" i="17"/>
  <c r="D22" i="17"/>
  <c r="C22" i="17"/>
  <c r="B22" i="17"/>
  <c r="A22" i="17"/>
  <c r="D21" i="17"/>
  <c r="C21" i="17"/>
  <c r="B21" i="17"/>
  <c r="A21" i="17"/>
  <c r="D20" i="17"/>
  <c r="C20" i="17"/>
  <c r="B20" i="17"/>
  <c r="A20" i="17"/>
  <c r="D19" i="17"/>
  <c r="C19" i="17"/>
  <c r="B19" i="17"/>
  <c r="A19" i="17"/>
  <c r="D18" i="17"/>
  <c r="C18" i="17"/>
  <c r="B18" i="17"/>
  <c r="A18" i="17"/>
  <c r="D17" i="17"/>
  <c r="C17" i="17"/>
  <c r="B17" i="17"/>
  <c r="A17" i="17"/>
  <c r="D16" i="17"/>
  <c r="C16" i="17"/>
  <c r="B16" i="17"/>
  <c r="A16" i="17"/>
  <c r="D15" i="17"/>
  <c r="C15" i="17"/>
  <c r="B15" i="17"/>
  <c r="A15" i="17"/>
  <c r="D14" i="17"/>
  <c r="C14" i="17"/>
  <c r="B14" i="17"/>
  <c r="A14" i="17"/>
  <c r="D13" i="17"/>
  <c r="C13" i="17"/>
  <c r="B13" i="17"/>
  <c r="A13" i="17"/>
  <c r="D12" i="17"/>
  <c r="C12" i="17"/>
  <c r="B12" i="17"/>
  <c r="A12" i="17"/>
  <c r="D11" i="17"/>
  <c r="C11" i="17"/>
  <c r="B11" i="17"/>
  <c r="A11" i="17"/>
  <c r="D10" i="17"/>
  <c r="C10" i="17"/>
  <c r="B10" i="17"/>
  <c r="A10" i="17"/>
  <c r="D9" i="17"/>
  <c r="C9" i="17"/>
  <c r="B9" i="17"/>
  <c r="A9" i="17"/>
  <c r="D8" i="17"/>
  <c r="C8" i="17"/>
  <c r="B8" i="17"/>
  <c r="A8" i="17"/>
  <c r="D7" i="17"/>
  <c r="C7" i="17"/>
  <c r="B7" i="17"/>
  <c r="A7" i="17"/>
  <c r="D6" i="17"/>
  <c r="C6" i="17"/>
  <c r="B6" i="17"/>
  <c r="A6" i="17"/>
  <c r="D5" i="17"/>
  <c r="C5" i="17"/>
  <c r="B5" i="17"/>
  <c r="A5" i="17"/>
  <c r="D4" i="17"/>
  <c r="C4" i="17"/>
  <c r="B4" i="17"/>
  <c r="A4" i="17"/>
  <c r="D3" i="17"/>
  <c r="C3" i="17"/>
  <c r="B3" i="17"/>
  <c r="A3" i="17"/>
  <c r="D2" i="17"/>
  <c r="C2" i="17"/>
  <c r="B2" i="17"/>
  <c r="A2" i="17"/>
  <c r="Q23" i="12" l="1"/>
  <c r="F26" i="18"/>
  <c r="G26" i="18"/>
  <c r="L24" i="6"/>
  <c r="F25" i="18"/>
  <c r="G25" i="18"/>
  <c r="L23" i="6"/>
  <c r="H26" i="18"/>
  <c r="M24" i="6"/>
  <c r="H25" i="18"/>
  <c r="M23" i="6"/>
  <c r="I26" i="18"/>
  <c r="N24" i="6"/>
  <c r="N23" i="6"/>
  <c r="I25" i="18"/>
  <c r="P24" i="12"/>
  <c r="O24" i="6"/>
  <c r="BA3" i="14"/>
  <c r="BI3" i="14" s="1"/>
  <c r="R24" i="12"/>
  <c r="R23" i="12"/>
  <c r="BA25" i="14"/>
  <c r="BI25" i="14" s="1"/>
  <c r="BA2" i="14"/>
  <c r="BI2" i="14" s="1"/>
  <c r="BI27" i="14" s="1"/>
  <c r="P23" i="12"/>
  <c r="Q24" i="12"/>
  <c r="BA8" i="14"/>
  <c r="BI8" i="14" s="1"/>
  <c r="BA16" i="14"/>
  <c r="BI16" i="14" s="1"/>
  <c r="BA9" i="14"/>
  <c r="BI9" i="14" s="1"/>
  <c r="BA23" i="14"/>
  <c r="BI23" i="14" s="1"/>
  <c r="BA24" i="14"/>
  <c r="BI24" i="14" s="1"/>
  <c r="BA10" i="14"/>
  <c r="BI10" i="14" s="1"/>
  <c r="BA17" i="14"/>
  <c r="BI17" i="14" s="1"/>
  <c r="BA11" i="14"/>
  <c r="BI11" i="14" s="1"/>
  <c r="BA18" i="14"/>
  <c r="BI18" i="14" s="1"/>
  <c r="BA4" i="14"/>
  <c r="BI4" i="14" s="1"/>
  <c r="BA12" i="14"/>
  <c r="BI12" i="14" s="1"/>
  <c r="BA19" i="14"/>
  <c r="BI19" i="14" s="1"/>
  <c r="BA5" i="14"/>
  <c r="BI5" i="14" s="1"/>
  <c r="BA13" i="14"/>
  <c r="BI13" i="14" s="1"/>
  <c r="BA20" i="14"/>
  <c r="BI20" i="14" s="1"/>
  <c r="BA6" i="14"/>
  <c r="BI6" i="14" s="1"/>
  <c r="BA14" i="14"/>
  <c r="BI14" i="14" s="1"/>
  <c r="BA21" i="14"/>
  <c r="BI21" i="14" s="1"/>
  <c r="BA7" i="14"/>
  <c r="BI7" i="14" s="1"/>
  <c r="BA15" i="14"/>
  <c r="BI15" i="14" s="1"/>
  <c r="BA22" i="14"/>
  <c r="BI22" i="14" s="1"/>
  <c r="K24" i="3"/>
  <c r="K23" i="3"/>
  <c r="I24" i="3"/>
  <c r="D24" i="3"/>
  <c r="C24" i="3"/>
  <c r="B24" i="3"/>
  <c r="A24" i="3"/>
  <c r="D23" i="3"/>
  <c r="C23" i="3"/>
  <c r="B23" i="3"/>
  <c r="A23" i="3"/>
  <c r="AX24" i="5" a="1"/>
  <c r="AX24" i="5" s="1"/>
  <c r="AW24" i="5" a="1"/>
  <c r="AW24" i="5" s="1"/>
  <c r="AV24" i="5"/>
  <c r="AU24" i="5"/>
  <c r="AT24" i="5"/>
  <c r="AX23" i="5" a="1"/>
  <c r="AX23" i="5" s="1"/>
  <c r="AW23" i="5" a="1"/>
  <c r="AW23" i="5" s="1"/>
  <c r="AV23" i="5"/>
  <c r="AU23" i="5"/>
  <c r="AT23" i="5"/>
  <c r="AL24" i="5" a="1"/>
  <c r="AL24" i="5" s="1"/>
  <c r="AL23" i="5" a="1"/>
  <c r="AL23" i="5" s="1"/>
  <c r="AE24" i="5" a="1"/>
  <c r="AE24" i="5" s="1"/>
  <c r="AE23" i="5" a="1"/>
  <c r="AE23" i="5" s="1"/>
  <c r="Q23" i="6" l="1"/>
  <c r="U23" i="6" s="1"/>
  <c r="Q24" i="6"/>
  <c r="S24" i="6" s="1"/>
  <c r="CY3" i="14"/>
  <c r="CY4" i="14"/>
  <c r="CY24" i="14"/>
  <c r="CY13" i="14"/>
  <c r="CY20" i="14"/>
  <c r="CY9" i="14"/>
  <c r="CY17" i="14"/>
  <c r="CY19" i="14"/>
  <c r="CY22" i="14"/>
  <c r="CY5" i="14"/>
  <c r="CY15" i="14"/>
  <c r="CY12" i="14"/>
  <c r="CY14" i="14"/>
  <c r="CY18" i="14"/>
  <c r="CY7" i="14"/>
  <c r="CY6" i="14"/>
  <c r="CY11" i="14"/>
  <c r="CY23" i="14"/>
  <c r="CY16" i="14"/>
  <c r="CY10" i="14"/>
  <c r="CY8" i="14"/>
  <c r="CY21" i="14"/>
  <c r="F65" i="12"/>
  <c r="F64" i="12"/>
  <c r="F63" i="12"/>
  <c r="F62" i="12"/>
  <c r="F61" i="12"/>
  <c r="F60" i="12"/>
  <c r="P51" i="12"/>
  <c r="O51" i="12"/>
  <c r="N51" i="12"/>
  <c r="M51" i="12"/>
  <c r="L51" i="12"/>
  <c r="K51" i="12"/>
  <c r="J51" i="12"/>
  <c r="I51" i="12"/>
  <c r="H51" i="12"/>
  <c r="G51" i="12"/>
  <c r="P32" i="12"/>
  <c r="O32" i="12"/>
  <c r="N32" i="12"/>
  <c r="M32" i="12"/>
  <c r="L32" i="12"/>
  <c r="K32" i="12"/>
  <c r="J32" i="12"/>
  <c r="I32" i="12"/>
  <c r="H32" i="12"/>
  <c r="G32" i="12"/>
  <c r="O22" i="12"/>
  <c r="N22" i="12"/>
  <c r="P22" i="6" s="1"/>
  <c r="M22" i="12"/>
  <c r="L22" i="12"/>
  <c r="K22" i="12"/>
  <c r="J22" i="12"/>
  <c r="I22" i="12"/>
  <c r="H22" i="12"/>
  <c r="G22" i="12"/>
  <c r="F22" i="12"/>
  <c r="E22" i="12"/>
  <c r="D22" i="12"/>
  <c r="C22" i="12"/>
  <c r="B22" i="12"/>
  <c r="A22" i="12"/>
  <c r="O21" i="12"/>
  <c r="N21" i="12"/>
  <c r="P21" i="6" s="1"/>
  <c r="M21" i="12"/>
  <c r="O21" i="6" s="1"/>
  <c r="L21" i="12"/>
  <c r="K21" i="12"/>
  <c r="J21" i="12"/>
  <c r="I21" i="12"/>
  <c r="H21" i="12"/>
  <c r="G21" i="12"/>
  <c r="F21" i="12"/>
  <c r="E21" i="12"/>
  <c r="D21" i="12"/>
  <c r="C21" i="12"/>
  <c r="B21" i="12"/>
  <c r="A21" i="12"/>
  <c r="O20" i="12"/>
  <c r="N20" i="12"/>
  <c r="P20" i="6" s="1"/>
  <c r="M20" i="12"/>
  <c r="O20" i="6" s="1"/>
  <c r="L20" i="12"/>
  <c r="K20" i="12"/>
  <c r="J20" i="12"/>
  <c r="I20" i="12"/>
  <c r="H20" i="12"/>
  <c r="G20" i="12"/>
  <c r="F20" i="12"/>
  <c r="E20" i="12"/>
  <c r="D20" i="12"/>
  <c r="C20" i="12"/>
  <c r="B20" i="12"/>
  <c r="A20" i="12"/>
  <c r="O19" i="12"/>
  <c r="N19" i="12"/>
  <c r="P19" i="6" s="1"/>
  <c r="M19" i="12"/>
  <c r="O19" i="6" s="1"/>
  <c r="L19" i="12"/>
  <c r="K19" i="12"/>
  <c r="J19" i="12"/>
  <c r="I19" i="12"/>
  <c r="H19" i="12"/>
  <c r="G19" i="12"/>
  <c r="F19" i="12"/>
  <c r="E19" i="12"/>
  <c r="D19" i="12"/>
  <c r="C19" i="12"/>
  <c r="B19" i="12"/>
  <c r="A19" i="12"/>
  <c r="O18" i="12"/>
  <c r="N18" i="12"/>
  <c r="M18" i="12"/>
  <c r="L18" i="12"/>
  <c r="K18" i="12"/>
  <c r="J18" i="12"/>
  <c r="I18" i="12"/>
  <c r="H18" i="12"/>
  <c r="G18" i="12"/>
  <c r="F18" i="12"/>
  <c r="E18" i="12"/>
  <c r="D18" i="12"/>
  <c r="C18" i="12"/>
  <c r="B18" i="12"/>
  <c r="A18" i="12"/>
  <c r="O17" i="12"/>
  <c r="N17" i="12"/>
  <c r="P17" i="6" s="1"/>
  <c r="M17" i="12"/>
  <c r="L17" i="12"/>
  <c r="K17" i="12"/>
  <c r="J17" i="12"/>
  <c r="I17" i="12"/>
  <c r="H17" i="12"/>
  <c r="G17" i="12"/>
  <c r="F17" i="12"/>
  <c r="E17" i="12"/>
  <c r="D17" i="12"/>
  <c r="C17" i="12"/>
  <c r="B17" i="12"/>
  <c r="A17" i="12"/>
  <c r="O16" i="12"/>
  <c r="N16" i="12"/>
  <c r="M16" i="12"/>
  <c r="L16" i="12"/>
  <c r="K16" i="12"/>
  <c r="J16" i="12"/>
  <c r="I16" i="12"/>
  <c r="H16" i="12"/>
  <c r="G16" i="12"/>
  <c r="F16" i="12"/>
  <c r="E16" i="12"/>
  <c r="D16" i="12"/>
  <c r="C16" i="12"/>
  <c r="B16" i="12"/>
  <c r="A16" i="12"/>
  <c r="O15" i="12"/>
  <c r="N15" i="12"/>
  <c r="M15" i="12"/>
  <c r="L15" i="12"/>
  <c r="K15" i="12"/>
  <c r="J15" i="12"/>
  <c r="I15" i="12"/>
  <c r="H15" i="12"/>
  <c r="G15" i="12"/>
  <c r="F15" i="12"/>
  <c r="E15" i="12"/>
  <c r="D15" i="12"/>
  <c r="C15" i="12"/>
  <c r="B15" i="12"/>
  <c r="A15" i="12"/>
  <c r="O14" i="12"/>
  <c r="N14" i="12"/>
  <c r="P14" i="6" s="1"/>
  <c r="M14" i="12"/>
  <c r="O14" i="6" s="1"/>
  <c r="L14" i="12"/>
  <c r="K14" i="12"/>
  <c r="J14" i="12"/>
  <c r="I14" i="12"/>
  <c r="H14" i="12"/>
  <c r="G14" i="12"/>
  <c r="F14" i="12"/>
  <c r="E14" i="12"/>
  <c r="D14" i="12"/>
  <c r="C14" i="12"/>
  <c r="B14" i="12"/>
  <c r="A14" i="12"/>
  <c r="O13" i="12"/>
  <c r="N13" i="12"/>
  <c r="P13" i="6" s="1"/>
  <c r="M13" i="12"/>
  <c r="O13" i="6" s="1"/>
  <c r="L13" i="12"/>
  <c r="K13" i="12"/>
  <c r="J13" i="12"/>
  <c r="I13" i="12"/>
  <c r="H13" i="12"/>
  <c r="G13" i="12"/>
  <c r="F13" i="12"/>
  <c r="E13" i="12"/>
  <c r="D13" i="12"/>
  <c r="C13" i="12"/>
  <c r="B13" i="12"/>
  <c r="A13" i="12"/>
  <c r="O12" i="12"/>
  <c r="N12" i="12"/>
  <c r="P12" i="6" s="1"/>
  <c r="M12" i="12"/>
  <c r="O12" i="6" s="1"/>
  <c r="L12" i="12"/>
  <c r="K12" i="12"/>
  <c r="J12" i="12"/>
  <c r="I12" i="12"/>
  <c r="H12" i="12"/>
  <c r="G12" i="12"/>
  <c r="F12" i="12"/>
  <c r="E12" i="12"/>
  <c r="D12" i="12"/>
  <c r="C12" i="12"/>
  <c r="B12" i="12"/>
  <c r="A12" i="12"/>
  <c r="O11" i="12"/>
  <c r="N11" i="12"/>
  <c r="P11" i="6" s="1"/>
  <c r="M11" i="12"/>
  <c r="L11" i="12"/>
  <c r="K11" i="12"/>
  <c r="J11" i="12"/>
  <c r="I11" i="12"/>
  <c r="H11" i="12"/>
  <c r="G11" i="12"/>
  <c r="F11" i="12"/>
  <c r="E11" i="12"/>
  <c r="D11" i="12"/>
  <c r="C11" i="12"/>
  <c r="B11" i="12"/>
  <c r="A11" i="12"/>
  <c r="O10" i="12"/>
  <c r="N10" i="12"/>
  <c r="P10" i="6" s="1"/>
  <c r="M10" i="12"/>
  <c r="O10" i="6" s="1"/>
  <c r="L10" i="12"/>
  <c r="K10" i="12"/>
  <c r="J10" i="12"/>
  <c r="I10" i="12"/>
  <c r="H10" i="12"/>
  <c r="G10" i="12"/>
  <c r="F10" i="12"/>
  <c r="E10" i="12"/>
  <c r="D10" i="12"/>
  <c r="C10" i="12"/>
  <c r="B10" i="12"/>
  <c r="A10" i="12"/>
  <c r="O9" i="12"/>
  <c r="N9" i="12"/>
  <c r="P9" i="6" s="1"/>
  <c r="M9" i="12"/>
  <c r="O9" i="6" s="1"/>
  <c r="L9" i="12"/>
  <c r="K9" i="12"/>
  <c r="J9" i="12"/>
  <c r="I9" i="12"/>
  <c r="H9" i="12"/>
  <c r="G9" i="12"/>
  <c r="F9" i="12"/>
  <c r="E9" i="12"/>
  <c r="D9" i="12"/>
  <c r="C9" i="12"/>
  <c r="B9" i="12"/>
  <c r="A9" i="12"/>
  <c r="O8" i="12"/>
  <c r="N8" i="12"/>
  <c r="L8" i="12"/>
  <c r="K8" i="12"/>
  <c r="J8" i="12"/>
  <c r="I8" i="12"/>
  <c r="H8" i="12"/>
  <c r="G8" i="12"/>
  <c r="F8" i="12"/>
  <c r="E8" i="12"/>
  <c r="D8" i="12"/>
  <c r="C8" i="12"/>
  <c r="B8" i="12"/>
  <c r="A8" i="12"/>
  <c r="O7" i="12"/>
  <c r="N7" i="12"/>
  <c r="P7" i="6" s="1"/>
  <c r="L7" i="12"/>
  <c r="K7" i="12"/>
  <c r="J7" i="12"/>
  <c r="I7" i="12"/>
  <c r="H7" i="12"/>
  <c r="G7" i="12"/>
  <c r="F7" i="12"/>
  <c r="E7" i="12"/>
  <c r="D7" i="12"/>
  <c r="C7" i="12"/>
  <c r="B7" i="12"/>
  <c r="A7" i="12"/>
  <c r="J40" i="12" l="1"/>
  <c r="J39" i="12"/>
  <c r="K46" i="12"/>
  <c r="K45" i="12"/>
  <c r="L48" i="12"/>
  <c r="L49" i="12"/>
  <c r="O18" i="6"/>
  <c r="M49" i="12"/>
  <c r="M48" i="12"/>
  <c r="L46" i="12"/>
  <c r="L45" i="12"/>
  <c r="P18" i="6"/>
  <c r="P48" i="6" s="1"/>
  <c r="N49" i="12"/>
  <c r="N48" i="12"/>
  <c r="O49" i="12"/>
  <c r="O48" i="12"/>
  <c r="O57" i="12" s="1"/>
  <c r="P8" i="6"/>
  <c r="N40" i="12"/>
  <c r="N39" i="12"/>
  <c r="O15" i="6"/>
  <c r="M43" i="12"/>
  <c r="M42" i="12"/>
  <c r="M55" i="12" s="1"/>
  <c r="P16" i="6"/>
  <c r="N45" i="12"/>
  <c r="N56" i="12" s="1"/>
  <c r="N46" i="12"/>
  <c r="H49" i="12"/>
  <c r="H48" i="12"/>
  <c r="J46" i="12"/>
  <c r="J45" i="12"/>
  <c r="J42" i="12"/>
  <c r="J43" i="12"/>
  <c r="K43" i="12"/>
  <c r="K42" i="12"/>
  <c r="L43" i="12"/>
  <c r="L42" i="12"/>
  <c r="G49" i="12"/>
  <c r="G48" i="12"/>
  <c r="O40" i="12"/>
  <c r="O39" i="12"/>
  <c r="P15" i="6"/>
  <c r="P41" i="6" s="1"/>
  <c r="P54" i="6" s="1"/>
  <c r="N43" i="12"/>
  <c r="N42" i="12"/>
  <c r="G46" i="12"/>
  <c r="G45" i="12"/>
  <c r="O45" i="12"/>
  <c r="O46" i="12"/>
  <c r="I49" i="12"/>
  <c r="I48" i="12"/>
  <c r="I57" i="12" s="1"/>
  <c r="I42" i="12"/>
  <c r="I43" i="12"/>
  <c r="L40" i="12"/>
  <c r="L39" i="12"/>
  <c r="G43" i="12"/>
  <c r="G42" i="12"/>
  <c r="G55" i="12" s="1"/>
  <c r="O43" i="12"/>
  <c r="O42" i="12"/>
  <c r="O55" i="12" s="1"/>
  <c r="H46" i="12"/>
  <c r="H45" i="12"/>
  <c r="J49" i="12"/>
  <c r="J48" i="12"/>
  <c r="K39" i="12"/>
  <c r="K40" i="12"/>
  <c r="O16" i="6"/>
  <c r="M46" i="12"/>
  <c r="M45" i="12"/>
  <c r="H40" i="12"/>
  <c r="H39" i="12"/>
  <c r="I40" i="12"/>
  <c r="I39" i="12"/>
  <c r="H43" i="12"/>
  <c r="H44" i="12" s="1"/>
  <c r="H42" i="12"/>
  <c r="I46" i="12"/>
  <c r="I45" i="12"/>
  <c r="K48" i="12"/>
  <c r="K49" i="12"/>
  <c r="M40" i="12"/>
  <c r="M62" i="12" s="1"/>
  <c r="M39" i="12"/>
  <c r="M54" i="12" s="1"/>
  <c r="J23" i="18"/>
  <c r="W6" i="22" s="1"/>
  <c r="EO21" i="14"/>
  <c r="J20" i="18"/>
  <c r="T6" i="22" s="1"/>
  <c r="D5" i="29" s="1"/>
  <c r="EO18" i="14"/>
  <c r="J10" i="18"/>
  <c r="J6" i="22" s="1"/>
  <c r="EO8" i="14"/>
  <c r="J22" i="18"/>
  <c r="V6" i="22" s="1"/>
  <c r="EO20" i="14"/>
  <c r="J14" i="18"/>
  <c r="N6" i="22" s="1"/>
  <c r="EO12" i="14"/>
  <c r="J15" i="18"/>
  <c r="O6" i="22" s="1"/>
  <c r="EO13" i="14"/>
  <c r="J18" i="18"/>
  <c r="R6" i="22" s="1"/>
  <c r="F5" i="29" s="1"/>
  <c r="EO16" i="14"/>
  <c r="J17" i="18"/>
  <c r="Q6" i="22" s="1"/>
  <c r="EO15" i="14"/>
  <c r="J26" i="18"/>
  <c r="Z6" i="22" s="1"/>
  <c r="EO24" i="14"/>
  <c r="J25" i="18"/>
  <c r="Y6" i="22" s="1"/>
  <c r="EO23" i="14"/>
  <c r="J7" i="18"/>
  <c r="G6" i="22" s="1"/>
  <c r="EO5" i="14"/>
  <c r="J6" i="18"/>
  <c r="F6" i="22" s="1"/>
  <c r="G5" i="29" s="1"/>
  <c r="EO4" i="14"/>
  <c r="J13" i="18"/>
  <c r="M6" i="22" s="1"/>
  <c r="EO11" i="14"/>
  <c r="J24" i="18"/>
  <c r="X6" i="22" s="1"/>
  <c r="EO22" i="14"/>
  <c r="J5" i="18"/>
  <c r="E6" i="22" s="1"/>
  <c r="I5" i="29" s="1"/>
  <c r="EO3" i="14"/>
  <c r="J11" i="18"/>
  <c r="K6" i="22" s="1"/>
  <c r="EO9" i="14"/>
  <c r="J16" i="18"/>
  <c r="P6" i="22" s="1"/>
  <c r="EO14" i="14"/>
  <c r="J12" i="18"/>
  <c r="L6" i="22" s="1"/>
  <c r="EO10" i="14"/>
  <c r="J8" i="18"/>
  <c r="H6" i="22" s="1"/>
  <c r="EO6" i="14"/>
  <c r="J21" i="18"/>
  <c r="U6" i="22" s="1"/>
  <c r="EO19" i="14"/>
  <c r="J9" i="18"/>
  <c r="I6" i="22" s="1"/>
  <c r="EO7" i="14"/>
  <c r="J19" i="18"/>
  <c r="S6" i="22" s="1"/>
  <c r="EO17" i="14"/>
  <c r="P47" i="6"/>
  <c r="P56" i="6" s="1"/>
  <c r="O38" i="6"/>
  <c r="O53" i="6" s="1"/>
  <c r="O39" i="6"/>
  <c r="O45" i="6"/>
  <c r="O44" i="6"/>
  <c r="P44" i="6"/>
  <c r="P55" i="6" s="1"/>
  <c r="P45" i="6"/>
  <c r="P39" i="6"/>
  <c r="P38" i="6"/>
  <c r="P53" i="6" s="1"/>
  <c r="Q21" i="12"/>
  <c r="Q22" i="12"/>
  <c r="S23" i="6"/>
  <c r="L8" i="6"/>
  <c r="G10" i="18"/>
  <c r="F10" i="18"/>
  <c r="N13" i="6"/>
  <c r="I15" i="18"/>
  <c r="X24" i="6"/>
  <c r="AN24" i="6"/>
  <c r="AA26" i="18" s="1"/>
  <c r="AV24" i="6"/>
  <c r="AI26" i="18" s="1"/>
  <c r="AQ24" i="6"/>
  <c r="AD26" i="18" s="1"/>
  <c r="AF24" i="6"/>
  <c r="S26" i="18" s="1"/>
  <c r="BL24" i="6"/>
  <c r="AY26" i="18" s="1"/>
  <c r="BC24" i="6"/>
  <c r="AP26" i="18" s="1"/>
  <c r="AO24" i="6"/>
  <c r="AB26" i="18" s="1"/>
  <c r="BG24" i="6"/>
  <c r="AT26" i="18" s="1"/>
  <c r="AY24" i="6"/>
  <c r="AL26" i="18" s="1"/>
  <c r="BF24" i="6"/>
  <c r="AS26" i="18" s="1"/>
  <c r="AG24" i="6"/>
  <c r="T26" i="18" s="1"/>
  <c r="AX24" i="6"/>
  <c r="AK26" i="18" s="1"/>
  <c r="BE24" i="6"/>
  <c r="AR26" i="18" s="1"/>
  <c r="AT24" i="6"/>
  <c r="AG26" i="18" s="1"/>
  <c r="AC24" i="6"/>
  <c r="P26" i="18" s="1"/>
  <c r="BM24" i="6"/>
  <c r="AZ26" i="18" s="1"/>
  <c r="AZ24" i="6"/>
  <c r="AM26" i="18" s="1"/>
  <c r="AB24" i="6"/>
  <c r="O26" i="18" s="1"/>
  <c r="AW24" i="6"/>
  <c r="AJ26" i="18" s="1"/>
  <c r="AK24" i="6"/>
  <c r="X26" i="18" s="1"/>
  <c r="BA24" i="6"/>
  <c r="AN26" i="18" s="1"/>
  <c r="AI24" i="6"/>
  <c r="V26" i="18" s="1"/>
  <c r="BD24" i="6"/>
  <c r="AQ26" i="18" s="1"/>
  <c r="AR24" i="6"/>
  <c r="AE26" i="18" s="1"/>
  <c r="AP24" i="6"/>
  <c r="AC26" i="18" s="1"/>
  <c r="BK24" i="6"/>
  <c r="AX26" i="18" s="1"/>
  <c r="BH24" i="6"/>
  <c r="AU26" i="18" s="1"/>
  <c r="AJ24" i="6"/>
  <c r="W26" i="18" s="1"/>
  <c r="AH24" i="6"/>
  <c r="U26" i="18" s="1"/>
  <c r="AM24" i="6"/>
  <c r="Z26" i="18" s="1"/>
  <c r="BI24" i="6"/>
  <c r="AV26" i="18" s="1"/>
  <c r="AS24" i="6"/>
  <c r="AF26" i="18" s="1"/>
  <c r="BJ24" i="6"/>
  <c r="AW26" i="18" s="1"/>
  <c r="BB24" i="6"/>
  <c r="AO26" i="18" s="1"/>
  <c r="AD24" i="6"/>
  <c r="Q26" i="18" s="1"/>
  <c r="AL24" i="6"/>
  <c r="Y26" i="18" s="1"/>
  <c r="AE24" i="6"/>
  <c r="R26" i="18" s="1"/>
  <c r="AU24" i="6"/>
  <c r="AH26" i="18" s="1"/>
  <c r="W24" i="6"/>
  <c r="I16" i="18"/>
  <c r="N14" i="6"/>
  <c r="U24" i="6"/>
  <c r="H11" i="18"/>
  <c r="M9" i="6"/>
  <c r="M13" i="6"/>
  <c r="H15" i="18"/>
  <c r="G12" i="18"/>
  <c r="F12" i="18"/>
  <c r="L10" i="6"/>
  <c r="G11" i="18"/>
  <c r="F11" i="18"/>
  <c r="L9" i="6"/>
  <c r="H12" i="18"/>
  <c r="M10" i="6"/>
  <c r="I12" i="18"/>
  <c r="N10" i="6"/>
  <c r="H10" i="18"/>
  <c r="M8" i="6"/>
  <c r="N9" i="6"/>
  <c r="I11" i="18"/>
  <c r="H18" i="18"/>
  <c r="M16" i="6"/>
  <c r="F23" i="18"/>
  <c r="G23" i="18"/>
  <c r="L21" i="6"/>
  <c r="H24" i="18"/>
  <c r="M22" i="6"/>
  <c r="X23" i="6"/>
  <c r="AB23" i="6"/>
  <c r="O25" i="18" s="1"/>
  <c r="AD23" i="6"/>
  <c r="Q25" i="18" s="1"/>
  <c r="AI23" i="6"/>
  <c r="V25" i="18" s="1"/>
  <c r="AX23" i="6"/>
  <c r="AK25" i="18" s="1"/>
  <c r="BD23" i="6"/>
  <c r="AQ25" i="18" s="1"/>
  <c r="AV23" i="6"/>
  <c r="AI25" i="18" s="1"/>
  <c r="AM23" i="6"/>
  <c r="Z25" i="18" s="1"/>
  <c r="BH23" i="6"/>
  <c r="AU25" i="18" s="1"/>
  <c r="BA23" i="6"/>
  <c r="AN25" i="18" s="1"/>
  <c r="BG23" i="6"/>
  <c r="AT25" i="18" s="1"/>
  <c r="AH23" i="6"/>
  <c r="U25" i="18" s="1"/>
  <c r="AJ23" i="6"/>
  <c r="W25" i="18" s="1"/>
  <c r="AF23" i="6"/>
  <c r="S25" i="18" s="1"/>
  <c r="AN23" i="6"/>
  <c r="AA25" i="18" s="1"/>
  <c r="BM23" i="6"/>
  <c r="AZ25" i="18" s="1"/>
  <c r="AG23" i="6"/>
  <c r="T25" i="18" s="1"/>
  <c r="AY23" i="6"/>
  <c r="AL25" i="18" s="1"/>
  <c r="BL23" i="6"/>
  <c r="AY25" i="18" s="1"/>
  <c r="AO23" i="6"/>
  <c r="AB25" i="18" s="1"/>
  <c r="BK23" i="6"/>
  <c r="AX25" i="18" s="1"/>
  <c r="BE23" i="6"/>
  <c r="AR25" i="18" s="1"/>
  <c r="AT23" i="6"/>
  <c r="AG25" i="18" s="1"/>
  <c r="BF23" i="6"/>
  <c r="AS25" i="18" s="1"/>
  <c r="AZ23" i="6"/>
  <c r="AM25" i="18" s="1"/>
  <c r="AK23" i="6"/>
  <c r="X25" i="18" s="1"/>
  <c r="AR23" i="6"/>
  <c r="AE25" i="18" s="1"/>
  <c r="AP23" i="6"/>
  <c r="AC25" i="18" s="1"/>
  <c r="AW23" i="6"/>
  <c r="AJ25" i="18" s="1"/>
  <c r="AQ23" i="6"/>
  <c r="AD25" i="18" s="1"/>
  <c r="BC23" i="6"/>
  <c r="AP25" i="18" s="1"/>
  <c r="AU23" i="6"/>
  <c r="AH25" i="18" s="1"/>
  <c r="AL23" i="6"/>
  <c r="Y25" i="18" s="1"/>
  <c r="AS23" i="6"/>
  <c r="AF25" i="18" s="1"/>
  <c r="BI23" i="6"/>
  <c r="AV25" i="18" s="1"/>
  <c r="AC23" i="6"/>
  <c r="P25" i="18" s="1"/>
  <c r="AE23" i="6"/>
  <c r="R25" i="18" s="1"/>
  <c r="BB23" i="6"/>
  <c r="AO25" i="18" s="1"/>
  <c r="BJ23" i="6"/>
  <c r="AW25" i="18" s="1"/>
  <c r="W23" i="6"/>
  <c r="V23" i="6"/>
  <c r="H9" i="18"/>
  <c r="M7" i="6"/>
  <c r="N8" i="6"/>
  <c r="I10" i="18"/>
  <c r="L14" i="6"/>
  <c r="G16" i="18"/>
  <c r="F16" i="18"/>
  <c r="H17" i="18"/>
  <c r="M15" i="6"/>
  <c r="N16" i="6"/>
  <c r="I18" i="18"/>
  <c r="H23" i="18"/>
  <c r="M21" i="6"/>
  <c r="N22" i="6"/>
  <c r="I24" i="18"/>
  <c r="T24" i="6"/>
  <c r="G18" i="18"/>
  <c r="F18" i="18"/>
  <c r="L16" i="6"/>
  <c r="G24" i="18"/>
  <c r="F24" i="18"/>
  <c r="L22" i="6"/>
  <c r="G9" i="18"/>
  <c r="F9" i="18"/>
  <c r="L7" i="6"/>
  <c r="F17" i="18"/>
  <c r="G17" i="18"/>
  <c r="L15" i="6"/>
  <c r="I9" i="18"/>
  <c r="N7" i="6"/>
  <c r="Q10" i="12"/>
  <c r="L13" i="6"/>
  <c r="G15" i="18"/>
  <c r="F15" i="18"/>
  <c r="M14" i="6"/>
  <c r="H16" i="18"/>
  <c r="I17" i="18"/>
  <c r="N15" i="6"/>
  <c r="I23" i="18"/>
  <c r="N21" i="6"/>
  <c r="P22" i="12"/>
  <c r="O22" i="6"/>
  <c r="O48" i="6" s="1"/>
  <c r="T23" i="6"/>
  <c r="V24" i="6"/>
  <c r="H21" i="18"/>
  <c r="M19" i="6"/>
  <c r="I21" i="18"/>
  <c r="N19" i="6"/>
  <c r="G22" i="18"/>
  <c r="F22" i="18"/>
  <c r="L20" i="6"/>
  <c r="N20" i="6"/>
  <c r="I22" i="18"/>
  <c r="F21" i="18"/>
  <c r="G21" i="18"/>
  <c r="L19" i="6"/>
  <c r="H22" i="18"/>
  <c r="M20" i="6"/>
  <c r="G20" i="18"/>
  <c r="F20" i="18"/>
  <c r="L18" i="6"/>
  <c r="G19" i="18"/>
  <c r="F19" i="18"/>
  <c r="L17" i="6"/>
  <c r="H20" i="18"/>
  <c r="M18" i="6"/>
  <c r="H19" i="18"/>
  <c r="M17" i="6"/>
  <c r="N18" i="6"/>
  <c r="I20" i="18"/>
  <c r="P17" i="12"/>
  <c r="O17" i="6"/>
  <c r="N17" i="6"/>
  <c r="I19" i="18"/>
  <c r="G14" i="18"/>
  <c r="F14" i="18"/>
  <c r="L12" i="6"/>
  <c r="H14" i="18"/>
  <c r="M12" i="6"/>
  <c r="H13" i="18"/>
  <c r="M11" i="6"/>
  <c r="N12" i="6"/>
  <c r="I14" i="18"/>
  <c r="N11" i="6"/>
  <c r="I13" i="18"/>
  <c r="P11" i="12"/>
  <c r="O11" i="6"/>
  <c r="G13" i="18"/>
  <c r="F13" i="18"/>
  <c r="L11" i="6"/>
  <c r="Y23" i="6"/>
  <c r="L25" i="18" s="1"/>
  <c r="Y8" i="22" s="1"/>
  <c r="Y24" i="6"/>
  <c r="L26" i="18" s="1"/>
  <c r="Z8" i="22" s="1"/>
  <c r="R19" i="12"/>
  <c r="R11" i="12"/>
  <c r="R17" i="12"/>
  <c r="Q7" i="12"/>
  <c r="R10" i="12"/>
  <c r="R13" i="12"/>
  <c r="R7" i="12"/>
  <c r="Q12" i="12"/>
  <c r="R15" i="12"/>
  <c r="R21" i="12"/>
  <c r="Q9" i="12"/>
  <c r="R12" i="12"/>
  <c r="P14" i="12"/>
  <c r="R18" i="12"/>
  <c r="R8" i="12"/>
  <c r="Q13" i="12"/>
  <c r="R16" i="12"/>
  <c r="Q19" i="12"/>
  <c r="R22" i="12"/>
  <c r="P19" i="12"/>
  <c r="R9" i="12"/>
  <c r="P12" i="12"/>
  <c r="P13" i="12"/>
  <c r="P10" i="12"/>
  <c r="P20" i="12"/>
  <c r="Q11" i="12"/>
  <c r="R14" i="12"/>
  <c r="Q17" i="12"/>
  <c r="R20" i="12"/>
  <c r="K54" i="12"/>
  <c r="J56" i="12"/>
  <c r="J64" i="12"/>
  <c r="N57" i="12"/>
  <c r="N65" i="12"/>
  <c r="L54" i="12"/>
  <c r="K55" i="12"/>
  <c r="L56" i="12"/>
  <c r="H65" i="12"/>
  <c r="H57" i="12"/>
  <c r="J55" i="12"/>
  <c r="J63" i="12"/>
  <c r="N54" i="12"/>
  <c r="N62" i="12"/>
  <c r="L63" i="12"/>
  <c r="L55" i="12"/>
  <c r="P16" i="12"/>
  <c r="M56" i="12"/>
  <c r="I65" i="12"/>
  <c r="G40" i="12"/>
  <c r="G39" i="12"/>
  <c r="G54" i="12" s="1"/>
  <c r="Q8" i="12"/>
  <c r="O54" i="12"/>
  <c r="P15" i="12"/>
  <c r="J65" i="12"/>
  <c r="J57" i="12"/>
  <c r="P21" i="12"/>
  <c r="H54" i="12"/>
  <c r="N55" i="12"/>
  <c r="N63" i="12"/>
  <c r="Q16" i="12"/>
  <c r="G56" i="12"/>
  <c r="G64" i="12"/>
  <c r="O56" i="12"/>
  <c r="K65" i="12"/>
  <c r="K57" i="12"/>
  <c r="P9" i="12"/>
  <c r="G65" i="12"/>
  <c r="Q18" i="12"/>
  <c r="G57" i="12"/>
  <c r="I62" i="12"/>
  <c r="I54" i="12"/>
  <c r="Q15" i="12"/>
  <c r="G63" i="12"/>
  <c r="O63" i="12"/>
  <c r="H64" i="12"/>
  <c r="H56" i="12"/>
  <c r="L57" i="12"/>
  <c r="K64" i="12"/>
  <c r="K56" i="12"/>
  <c r="O65" i="12"/>
  <c r="J54" i="12"/>
  <c r="Q14" i="12"/>
  <c r="H55" i="12"/>
  <c r="I56" i="12"/>
  <c r="P18" i="12"/>
  <c r="M57" i="12"/>
  <c r="Q20" i="12"/>
  <c r="I55" i="12"/>
  <c r="I63" i="12"/>
  <c r="H56" i="3"/>
  <c r="H54" i="3"/>
  <c r="H53" i="3"/>
  <c r="H52" i="3"/>
  <c r="H51" i="3"/>
  <c r="T50" i="3"/>
  <c r="S50" i="3"/>
  <c r="R50" i="3"/>
  <c r="Q50" i="3"/>
  <c r="P50" i="3"/>
  <c r="O50" i="3"/>
  <c r="N50" i="3"/>
  <c r="M50" i="3"/>
  <c r="L50" i="3"/>
  <c r="K50" i="3"/>
  <c r="J50" i="3"/>
  <c r="I50" i="3"/>
  <c r="H50" i="3"/>
  <c r="T64" i="3"/>
  <c r="S64" i="3"/>
  <c r="Q64" i="3"/>
  <c r="P64" i="3"/>
  <c r="M64" i="3"/>
  <c r="L64" i="3"/>
  <c r="H64" i="3"/>
  <c r="T56" i="3"/>
  <c r="S56" i="3"/>
  <c r="R56" i="3"/>
  <c r="Q56" i="3"/>
  <c r="P56" i="3"/>
  <c r="O56" i="3"/>
  <c r="N56" i="3"/>
  <c r="M56" i="3"/>
  <c r="L56" i="3"/>
  <c r="J56" i="3"/>
  <c r="T63" i="3"/>
  <c r="S63" i="3"/>
  <c r="R63" i="3"/>
  <c r="P63" i="3"/>
  <c r="O63" i="3"/>
  <c r="N63" i="3"/>
  <c r="L63" i="3"/>
  <c r="J63" i="3"/>
  <c r="H63" i="3"/>
  <c r="R55" i="3"/>
  <c r="Q55" i="3"/>
  <c r="P55" i="3"/>
  <c r="O55" i="3"/>
  <c r="N55" i="3"/>
  <c r="M55" i="3"/>
  <c r="J55" i="3"/>
  <c r="T62" i="3"/>
  <c r="R62" i="3"/>
  <c r="Q62" i="3"/>
  <c r="P62" i="3"/>
  <c r="N62" i="3"/>
  <c r="M62" i="3"/>
  <c r="L62" i="3"/>
  <c r="J62" i="3"/>
  <c r="H62" i="3"/>
  <c r="T54" i="3"/>
  <c r="S54" i="3"/>
  <c r="R54" i="3"/>
  <c r="Q54" i="3"/>
  <c r="P54" i="3"/>
  <c r="O54" i="3"/>
  <c r="N54" i="3"/>
  <c r="M54" i="3"/>
  <c r="L54" i="3"/>
  <c r="J54" i="3"/>
  <c r="S61" i="3"/>
  <c r="R61" i="3"/>
  <c r="Q61" i="3"/>
  <c r="O61" i="3"/>
  <c r="N61" i="3"/>
  <c r="M61" i="3"/>
  <c r="J61" i="3"/>
  <c r="T53" i="3"/>
  <c r="S53" i="3"/>
  <c r="R53" i="3"/>
  <c r="Q53" i="3"/>
  <c r="P53" i="3"/>
  <c r="O53" i="3"/>
  <c r="N53" i="3"/>
  <c r="M53" i="3"/>
  <c r="L53" i="3"/>
  <c r="J53" i="3"/>
  <c r="T60" i="3"/>
  <c r="Q60" i="3"/>
  <c r="P60" i="3"/>
  <c r="M60" i="3"/>
  <c r="L60" i="3"/>
  <c r="H60" i="3"/>
  <c r="T52" i="3"/>
  <c r="S52" i="3"/>
  <c r="R52" i="3"/>
  <c r="Q52" i="3"/>
  <c r="P52" i="3"/>
  <c r="O52" i="3"/>
  <c r="N52" i="3"/>
  <c r="M52" i="3"/>
  <c r="L52" i="3"/>
  <c r="J52" i="3"/>
  <c r="S59" i="3"/>
  <c r="R59" i="3"/>
  <c r="O59" i="3"/>
  <c r="N59" i="3"/>
  <c r="J59" i="3"/>
  <c r="T51" i="3"/>
  <c r="S51" i="3"/>
  <c r="R51" i="3"/>
  <c r="Q51" i="3"/>
  <c r="P51" i="3"/>
  <c r="O51" i="3"/>
  <c r="N51" i="3"/>
  <c r="M51" i="3"/>
  <c r="L51" i="3"/>
  <c r="J51" i="3"/>
  <c r="W31" i="3"/>
  <c r="V31" i="3"/>
  <c r="U31" i="3"/>
  <c r="T31" i="3"/>
  <c r="S31" i="3"/>
  <c r="R31" i="3"/>
  <c r="Q31" i="3"/>
  <c r="P31" i="3"/>
  <c r="O31" i="3"/>
  <c r="N31" i="3"/>
  <c r="M31" i="3"/>
  <c r="L31" i="3"/>
  <c r="K31" i="3"/>
  <c r="J31" i="3"/>
  <c r="I31" i="3"/>
  <c r="H31" i="3"/>
  <c r="K20" i="3"/>
  <c r="K19" i="3"/>
  <c r="I20" i="3"/>
  <c r="I19" i="3"/>
  <c r="AX20" i="5" a="1"/>
  <c r="AX20" i="5" s="1"/>
  <c r="AW20" i="5" a="1"/>
  <c r="AW20" i="5" s="1"/>
  <c r="AV20" i="5"/>
  <c r="AU20" i="5"/>
  <c r="AT20" i="5"/>
  <c r="AX19" i="5" a="1"/>
  <c r="AX19" i="5" s="1"/>
  <c r="AW19" i="5" a="1"/>
  <c r="AW19" i="5" s="1"/>
  <c r="AV19" i="5"/>
  <c r="AU19" i="5"/>
  <c r="AT19" i="5"/>
  <c r="AL20" i="5" a="1"/>
  <c r="AL20" i="5" s="1"/>
  <c r="AL19" i="5" a="1"/>
  <c r="AL19" i="5" s="1"/>
  <c r="AE20" i="5" a="1"/>
  <c r="AE20" i="5" s="1"/>
  <c r="AE19" i="5" a="1"/>
  <c r="AE19" i="5" s="1"/>
  <c r="K22" i="3"/>
  <c r="I22" i="3"/>
  <c r="D22" i="3"/>
  <c r="C22" i="3"/>
  <c r="B22" i="3"/>
  <c r="A22" i="3"/>
  <c r="K21" i="3"/>
  <c r="I21" i="3"/>
  <c r="D21" i="3"/>
  <c r="C21" i="3"/>
  <c r="B21" i="3"/>
  <c r="A21" i="3"/>
  <c r="D20" i="3"/>
  <c r="C20" i="3"/>
  <c r="B20" i="3"/>
  <c r="A20" i="3"/>
  <c r="D19" i="3"/>
  <c r="C19" i="3"/>
  <c r="B19" i="3"/>
  <c r="A19" i="3"/>
  <c r="AX22" i="5" a="1"/>
  <c r="AX22" i="5" s="1"/>
  <c r="AW22" i="5" a="1"/>
  <c r="AW22" i="5" s="1"/>
  <c r="AV22" i="5"/>
  <c r="AU22" i="5"/>
  <c r="AT22" i="5"/>
  <c r="AX21" i="5" a="1"/>
  <c r="AX21" i="5" s="1"/>
  <c r="AW21" i="5" a="1"/>
  <c r="AW21" i="5" s="1"/>
  <c r="AV21" i="5"/>
  <c r="AU21" i="5"/>
  <c r="AT21" i="5"/>
  <c r="AL22" i="5" a="1"/>
  <c r="AL22" i="5" s="1"/>
  <c r="AL21" i="5" a="1"/>
  <c r="AL21" i="5" s="1"/>
  <c r="AE22" i="5" a="1"/>
  <c r="AE22" i="5" s="1"/>
  <c r="AE21" i="5" a="1"/>
  <c r="AE21" i="5" s="1"/>
  <c r="H5" i="29" l="1"/>
  <c r="L5" i="29" s="1"/>
  <c r="K5" i="29"/>
  <c r="E5" i="29"/>
  <c r="N5" i="29" s="1"/>
  <c r="Y14" i="22"/>
  <c r="Y33" i="22" s="1"/>
  <c r="Z14" i="22"/>
  <c r="P49" i="6"/>
  <c r="O42" i="6"/>
  <c r="I47" i="12"/>
  <c r="M47" i="12"/>
  <c r="K44" i="12"/>
  <c r="M50" i="12"/>
  <c r="K41" i="12"/>
  <c r="O47" i="12"/>
  <c r="L50" i="12"/>
  <c r="K50" i="12"/>
  <c r="J50" i="12"/>
  <c r="H47" i="12"/>
  <c r="N44" i="12"/>
  <c r="J41" i="12"/>
  <c r="J44" i="12"/>
  <c r="L65" i="12"/>
  <c r="H63" i="12"/>
  <c r="L41" i="12"/>
  <c r="K47" i="12"/>
  <c r="K63" i="12"/>
  <c r="O44" i="12"/>
  <c r="I50" i="12"/>
  <c r="O50" i="12"/>
  <c r="O41" i="12"/>
  <c r="P42" i="6"/>
  <c r="P43" i="6" s="1"/>
  <c r="G44" i="12"/>
  <c r="M44" i="12"/>
  <c r="N50" i="12"/>
  <c r="I41" i="12"/>
  <c r="J47" i="12"/>
  <c r="P49" i="12"/>
  <c r="P48" i="12"/>
  <c r="P57" i="12" s="1"/>
  <c r="P43" i="12"/>
  <c r="P42" i="12"/>
  <c r="M64" i="12"/>
  <c r="P46" i="12"/>
  <c r="P45" i="12"/>
  <c r="P56" i="12" s="1"/>
  <c r="P40" i="12"/>
  <c r="P39" i="12"/>
  <c r="P54" i="12" s="1"/>
  <c r="H41" i="12"/>
  <c r="I44" i="12"/>
  <c r="L44" i="12"/>
  <c r="H50" i="12"/>
  <c r="N41" i="12"/>
  <c r="L47" i="12"/>
  <c r="I64" i="12"/>
  <c r="N47" i="12"/>
  <c r="M41" i="12"/>
  <c r="O46" i="6"/>
  <c r="O55" i="6"/>
  <c r="L41" i="6"/>
  <c r="L54" i="6" s="1"/>
  <c r="L42" i="6"/>
  <c r="M48" i="6"/>
  <c r="M47" i="6"/>
  <c r="M56" i="6" s="1"/>
  <c r="N45" i="6"/>
  <c r="N44" i="6"/>
  <c r="M44" i="6"/>
  <c r="M55" i="6" s="1"/>
  <c r="M45" i="6"/>
  <c r="O47" i="6"/>
  <c r="O56" i="6" s="1"/>
  <c r="P46" i="6"/>
  <c r="L45" i="6"/>
  <c r="L44" i="6"/>
  <c r="L55" i="6" s="1"/>
  <c r="R45" i="12"/>
  <c r="R56" i="12" s="1"/>
  <c r="R46" i="12"/>
  <c r="R64" i="12" s="1"/>
  <c r="R42" i="12"/>
  <c r="R55" i="12" s="1"/>
  <c r="R43" i="12"/>
  <c r="M41" i="6"/>
  <c r="M42" i="6"/>
  <c r="Q46" i="12"/>
  <c r="Q45" i="12"/>
  <c r="Q56" i="12" s="1"/>
  <c r="Q42" i="12"/>
  <c r="Q55" i="12" s="1"/>
  <c r="Q43" i="12"/>
  <c r="Q63" i="12" s="1"/>
  <c r="Q39" i="12"/>
  <c r="Q54" i="12" s="1"/>
  <c r="Q40" i="12"/>
  <c r="O41" i="6"/>
  <c r="O43" i="6" s="1"/>
  <c r="Q49" i="12"/>
  <c r="Q48" i="12"/>
  <c r="Q57" i="12" s="1"/>
  <c r="R39" i="12"/>
  <c r="R54" i="12" s="1"/>
  <c r="R40" i="12"/>
  <c r="R62" i="12" s="1"/>
  <c r="L39" i="6"/>
  <c r="L38" i="6"/>
  <c r="N38" i="6"/>
  <c r="N53" i="6" s="1"/>
  <c r="N39" i="6"/>
  <c r="R49" i="12"/>
  <c r="R65" i="12" s="1"/>
  <c r="R48" i="12"/>
  <c r="R57" i="12" s="1"/>
  <c r="N42" i="6"/>
  <c r="N41" i="6"/>
  <c r="N54" i="6" s="1"/>
  <c r="M38" i="6"/>
  <c r="M53" i="6" s="1"/>
  <c r="M39" i="6"/>
  <c r="P40" i="6"/>
  <c r="O40" i="6"/>
  <c r="N48" i="6"/>
  <c r="N47" i="6"/>
  <c r="N56" i="6" s="1"/>
  <c r="L47" i="6"/>
  <c r="L56" i="6" s="1"/>
  <c r="L48" i="6"/>
  <c r="Q22" i="6"/>
  <c r="S22" i="6" s="1"/>
  <c r="Q14" i="6"/>
  <c r="Q15" i="6"/>
  <c r="Q9" i="6"/>
  <c r="Q8" i="6"/>
  <c r="Q21" i="6"/>
  <c r="T21" i="6" s="1"/>
  <c r="Q13" i="6"/>
  <c r="Q7" i="6"/>
  <c r="U7" i="6" s="1"/>
  <c r="Q16" i="6"/>
  <c r="Q10" i="6"/>
  <c r="O62" i="6"/>
  <c r="Q19" i="6"/>
  <c r="S19" i="6" s="1"/>
  <c r="Q20" i="6"/>
  <c r="S20" i="6" s="1"/>
  <c r="Q17" i="6"/>
  <c r="S17" i="6" s="1"/>
  <c r="P64" i="6"/>
  <c r="Q18" i="6"/>
  <c r="O63" i="6"/>
  <c r="P63" i="6"/>
  <c r="P62" i="6"/>
  <c r="P61" i="6"/>
  <c r="O61" i="6"/>
  <c r="Q12" i="6"/>
  <c r="Q11" i="6"/>
  <c r="G50" i="12"/>
  <c r="M63" i="12"/>
  <c r="P55" i="12"/>
  <c r="G47" i="12"/>
  <c r="L64" i="12"/>
  <c r="J62" i="12"/>
  <c r="H62" i="12"/>
  <c r="M65" i="12"/>
  <c r="O62" i="12"/>
  <c r="K62" i="12"/>
  <c r="N64" i="12"/>
  <c r="L62" i="12"/>
  <c r="O64" i="12"/>
  <c r="G62" i="12"/>
  <c r="G41" i="12"/>
  <c r="T55" i="3"/>
  <c r="S55" i="3"/>
  <c r="L55" i="3"/>
  <c r="H55" i="3"/>
  <c r="H59" i="3"/>
  <c r="P59" i="3"/>
  <c r="H61" i="3"/>
  <c r="T61" i="3"/>
  <c r="S62" i="3"/>
  <c r="M59" i="3"/>
  <c r="Q59" i="3"/>
  <c r="T59" i="3"/>
  <c r="L61" i="3"/>
  <c r="O62" i="3"/>
  <c r="J60" i="3"/>
  <c r="N60" i="3"/>
  <c r="R60" i="3"/>
  <c r="L59" i="3"/>
  <c r="P61" i="3"/>
  <c r="O60" i="3"/>
  <c r="S60" i="3"/>
  <c r="M63" i="3"/>
  <c r="Q63" i="3"/>
  <c r="N64" i="3"/>
  <c r="R64" i="3"/>
  <c r="J64" i="3"/>
  <c r="O64" i="3"/>
  <c r="CH50" i="5"/>
  <c r="CG50" i="5"/>
  <c r="CF50" i="5"/>
  <c r="CE50" i="5"/>
  <c r="CD50" i="5"/>
  <c r="CC50" i="5"/>
  <c r="CB50" i="5"/>
  <c r="CA50" i="5"/>
  <c r="BZ50" i="5"/>
  <c r="BY50" i="5"/>
  <c r="BX50" i="5"/>
  <c r="BW50" i="5"/>
  <c r="BV50" i="5"/>
  <c r="BU50" i="5"/>
  <c r="BT50" i="5"/>
  <c r="BS50" i="5"/>
  <c r="BR50" i="5"/>
  <c r="BQ50" i="5"/>
  <c r="BP50" i="5"/>
  <c r="BO50" i="5"/>
  <c r="BN50" i="5"/>
  <c r="BM50" i="5"/>
  <c r="BL50" i="5"/>
  <c r="BK50" i="5"/>
  <c r="BJ50" i="5"/>
  <c r="BI50" i="5"/>
  <c r="BH50" i="5"/>
  <c r="BG50" i="5"/>
  <c r="BF50" i="5"/>
  <c r="BE50" i="5"/>
  <c r="BD50" i="5"/>
  <c r="BC50" i="5"/>
  <c r="BB50" i="5"/>
  <c r="BA50" i="5"/>
  <c r="AZ50" i="5"/>
  <c r="AY50" i="5"/>
  <c r="AX50" i="5"/>
  <c r="AW50" i="5"/>
  <c r="AV50" i="5"/>
  <c r="AU50" i="5"/>
  <c r="AT50" i="5"/>
  <c r="AR50" i="5"/>
  <c r="AQ50" i="5"/>
  <c r="AP50" i="5"/>
  <c r="AO50" i="5"/>
  <c r="AN50" i="5"/>
  <c r="AM50" i="5"/>
  <c r="AL50" i="5"/>
  <c r="AJ50" i="5"/>
  <c r="AI50" i="5"/>
  <c r="AH50" i="5"/>
  <c r="AG50" i="5"/>
  <c r="AF50" i="5"/>
  <c r="AE50" i="5"/>
  <c r="F64" i="5"/>
  <c r="F63" i="5"/>
  <c r="F62" i="5"/>
  <c r="G48" i="5"/>
  <c r="G64" i="5" s="1"/>
  <c r="G47" i="5"/>
  <c r="G56" i="5" s="1"/>
  <c r="G55" i="5"/>
  <c r="G62" i="5"/>
  <c r="G54" i="5"/>
  <c r="G38" i="5"/>
  <c r="M5" i="29" l="1"/>
  <c r="O5" i="29" s="1"/>
  <c r="J5" i="29"/>
  <c r="Z33" i="22"/>
  <c r="P41" i="12"/>
  <c r="P44" i="12"/>
  <c r="P62" i="12"/>
  <c r="P50" i="12"/>
  <c r="P47" i="12"/>
  <c r="O49" i="6"/>
  <c r="L43" i="6"/>
  <c r="N46" i="6"/>
  <c r="M46" i="6"/>
  <c r="N40" i="6"/>
  <c r="N43" i="6"/>
  <c r="M49" i="6"/>
  <c r="O54" i="6"/>
  <c r="M43" i="6"/>
  <c r="M40" i="6"/>
  <c r="L40" i="6"/>
  <c r="Q41" i="12"/>
  <c r="R44" i="12"/>
  <c r="M54" i="6"/>
  <c r="N49" i="6"/>
  <c r="R50" i="12"/>
  <c r="Q50" i="12"/>
  <c r="Q47" i="12"/>
  <c r="U16" i="6"/>
  <c r="Q44" i="6"/>
  <c r="Q45" i="6"/>
  <c r="L53" i="6"/>
  <c r="L46" i="6"/>
  <c r="Q39" i="6"/>
  <c r="Q38" i="6"/>
  <c r="Q53" i="6" s="1"/>
  <c r="Q48" i="6"/>
  <c r="Q47" i="6"/>
  <c r="Q56" i="6" s="1"/>
  <c r="U15" i="6"/>
  <c r="Q41" i="6"/>
  <c r="Q54" i="6" s="1"/>
  <c r="Q42" i="6"/>
  <c r="N55" i="6"/>
  <c r="R63" i="12"/>
  <c r="S16" i="6"/>
  <c r="L49" i="6"/>
  <c r="R41" i="12"/>
  <c r="Q44" i="12"/>
  <c r="R47" i="12"/>
  <c r="U21" i="6"/>
  <c r="T16" i="6"/>
  <c r="T22" i="6"/>
  <c r="T15" i="6"/>
  <c r="U22" i="6"/>
  <c r="V22" i="6"/>
  <c r="S15" i="6"/>
  <c r="O64" i="6"/>
  <c r="T19" i="6"/>
  <c r="V7" i="6"/>
  <c r="X7" i="6"/>
  <c r="BM7" i="6"/>
  <c r="AZ9" i="18" s="1"/>
  <c r="BG7" i="6"/>
  <c r="AT9" i="18" s="1"/>
  <c r="AO7" i="6"/>
  <c r="AB9" i="18" s="1"/>
  <c r="AQ7" i="6"/>
  <c r="AD9" i="18" s="1"/>
  <c r="BH7" i="6"/>
  <c r="AU9" i="18" s="1"/>
  <c r="AY7" i="6"/>
  <c r="AL9" i="18" s="1"/>
  <c r="BD7" i="6"/>
  <c r="AQ9" i="18" s="1"/>
  <c r="AF7" i="6"/>
  <c r="S9" i="18" s="1"/>
  <c r="BF7" i="6"/>
  <c r="AS9" i="18" s="1"/>
  <c r="AG7" i="6"/>
  <c r="T9" i="18" s="1"/>
  <c r="AR7" i="6"/>
  <c r="AE9" i="18" s="1"/>
  <c r="AI7" i="6"/>
  <c r="V9" i="18" s="1"/>
  <c r="AN7" i="6"/>
  <c r="AA9" i="18" s="1"/>
  <c r="AS7" i="6"/>
  <c r="AF9" i="18" s="1"/>
  <c r="AP7" i="6"/>
  <c r="AC9" i="18" s="1"/>
  <c r="AH7" i="6"/>
  <c r="U9" i="18" s="1"/>
  <c r="AB7" i="6"/>
  <c r="O9" i="18" s="1"/>
  <c r="BE7" i="6"/>
  <c r="AR9" i="18" s="1"/>
  <c r="AW7" i="6"/>
  <c r="AJ9" i="18" s="1"/>
  <c r="AZ7" i="6"/>
  <c r="AM9" i="18" s="1"/>
  <c r="BC7" i="6"/>
  <c r="AP9" i="18" s="1"/>
  <c r="AV7" i="6"/>
  <c r="AI9" i="18" s="1"/>
  <c r="AJ7" i="6"/>
  <c r="W9" i="18" s="1"/>
  <c r="AX7" i="6"/>
  <c r="AK9" i="18" s="1"/>
  <c r="BL7" i="6"/>
  <c r="AY9" i="18" s="1"/>
  <c r="BB7" i="6"/>
  <c r="AO9" i="18" s="1"/>
  <c r="BK7" i="6"/>
  <c r="AX9" i="18" s="1"/>
  <c r="AK7" i="6"/>
  <c r="X9" i="18" s="1"/>
  <c r="BA7" i="6"/>
  <c r="AN9" i="18" s="1"/>
  <c r="AU7" i="6"/>
  <c r="AH9" i="18" s="1"/>
  <c r="AD7" i="6"/>
  <c r="Q9" i="18" s="1"/>
  <c r="BJ7" i="6"/>
  <c r="AW9" i="18" s="1"/>
  <c r="AE7" i="6"/>
  <c r="R9" i="18" s="1"/>
  <c r="AL7" i="6"/>
  <c r="Y9" i="18" s="1"/>
  <c r="BI7" i="6"/>
  <c r="AV9" i="18" s="1"/>
  <c r="AC7" i="6"/>
  <c r="P9" i="18" s="1"/>
  <c r="AM7" i="6"/>
  <c r="Z9" i="18" s="1"/>
  <c r="AT7" i="6"/>
  <c r="AG9" i="18" s="1"/>
  <c r="T7" i="6"/>
  <c r="W7" i="6"/>
  <c r="Y7" i="6"/>
  <c r="L9" i="18" s="1"/>
  <c r="I8" i="22" s="1"/>
  <c r="S7" i="6"/>
  <c r="S21" i="6"/>
  <c r="X15" i="6"/>
  <c r="AT15" i="6"/>
  <c r="AR15" i="6"/>
  <c r="BK15" i="6"/>
  <c r="BA15" i="6"/>
  <c r="AN15" i="6"/>
  <c r="AO15" i="6"/>
  <c r="AH15" i="6"/>
  <c r="AQ15" i="6"/>
  <c r="BE15" i="6"/>
  <c r="BH15" i="6"/>
  <c r="AZ15" i="6"/>
  <c r="AJ15" i="6"/>
  <c r="AB15" i="6"/>
  <c r="AX15" i="6"/>
  <c r="AP15" i="6"/>
  <c r="BD15" i="6"/>
  <c r="BC15" i="6"/>
  <c r="AV15" i="6"/>
  <c r="AG15" i="6"/>
  <c r="AY15" i="6"/>
  <c r="AI15" i="6"/>
  <c r="AF15" i="6"/>
  <c r="BF15" i="6"/>
  <c r="AM15" i="6"/>
  <c r="AW15" i="6"/>
  <c r="BL15" i="6"/>
  <c r="BM15" i="6"/>
  <c r="BG15" i="6"/>
  <c r="AK15" i="6"/>
  <c r="BI15" i="6"/>
  <c r="AL15" i="6"/>
  <c r="BJ15" i="6"/>
  <c r="AE15" i="6"/>
  <c r="BB15" i="6"/>
  <c r="AS15" i="6"/>
  <c r="AD15" i="6"/>
  <c r="AC15" i="6"/>
  <c r="AU15" i="6"/>
  <c r="W15" i="6"/>
  <c r="Y15" i="6"/>
  <c r="V15" i="6"/>
  <c r="X21" i="6"/>
  <c r="AX21" i="6"/>
  <c r="AK23" i="18" s="1"/>
  <c r="BA21" i="6"/>
  <c r="AN23" i="18" s="1"/>
  <c r="AO21" i="6"/>
  <c r="AB23" i="18" s="1"/>
  <c r="AB21" i="6"/>
  <c r="O23" i="18" s="1"/>
  <c r="BK21" i="6"/>
  <c r="AX23" i="18" s="1"/>
  <c r="AV21" i="6"/>
  <c r="AI23" i="18" s="1"/>
  <c r="AP21" i="6"/>
  <c r="AC23" i="18" s="1"/>
  <c r="AR21" i="6"/>
  <c r="AE23" i="18" s="1"/>
  <c r="BL21" i="6"/>
  <c r="AY23" i="18" s="1"/>
  <c r="BG21" i="6"/>
  <c r="AT23" i="18" s="1"/>
  <c r="AW21" i="6"/>
  <c r="AJ23" i="18" s="1"/>
  <c r="BE21" i="6"/>
  <c r="AR23" i="18" s="1"/>
  <c r="AN21" i="6"/>
  <c r="AA23" i="18" s="1"/>
  <c r="BB21" i="6"/>
  <c r="AO23" i="18" s="1"/>
  <c r="AM21" i="6"/>
  <c r="Z23" i="18" s="1"/>
  <c r="AI21" i="6"/>
  <c r="V23" i="18" s="1"/>
  <c r="AG21" i="6"/>
  <c r="T23" i="18" s="1"/>
  <c r="BC21" i="6"/>
  <c r="AP23" i="18" s="1"/>
  <c r="AK21" i="6"/>
  <c r="X23" i="18" s="1"/>
  <c r="AU21" i="6"/>
  <c r="AH23" i="18" s="1"/>
  <c r="AF21" i="6"/>
  <c r="S23" i="18" s="1"/>
  <c r="BJ21" i="6"/>
  <c r="AW23" i="18" s="1"/>
  <c r="AH21" i="6"/>
  <c r="U23" i="18" s="1"/>
  <c r="AJ21" i="6"/>
  <c r="W23" i="18" s="1"/>
  <c r="AQ21" i="6"/>
  <c r="AD23" i="18" s="1"/>
  <c r="BD21" i="6"/>
  <c r="AQ23" i="18" s="1"/>
  <c r="AE21" i="6"/>
  <c r="R23" i="18" s="1"/>
  <c r="AL21" i="6"/>
  <c r="Y23" i="18" s="1"/>
  <c r="BM21" i="6"/>
  <c r="AZ23" i="18" s="1"/>
  <c r="AZ21" i="6"/>
  <c r="AM23" i="18" s="1"/>
  <c r="AT21" i="6"/>
  <c r="AG23" i="18" s="1"/>
  <c r="BH21" i="6"/>
  <c r="AU23" i="18" s="1"/>
  <c r="BF21" i="6"/>
  <c r="AS23" i="18" s="1"/>
  <c r="AY21" i="6"/>
  <c r="AL23" i="18" s="1"/>
  <c r="AC21" i="6"/>
  <c r="P23" i="18" s="1"/>
  <c r="BI21" i="6"/>
  <c r="AV23" i="18" s="1"/>
  <c r="AD21" i="6"/>
  <c r="Q23" i="18" s="1"/>
  <c r="AS21" i="6"/>
  <c r="AF23" i="18" s="1"/>
  <c r="W21" i="6"/>
  <c r="Y21" i="6"/>
  <c r="L23" i="18" s="1"/>
  <c r="W8" i="22" s="1"/>
  <c r="V21" i="6"/>
  <c r="X16" i="6"/>
  <c r="BD16" i="6"/>
  <c r="BC16" i="6"/>
  <c r="AP16" i="6"/>
  <c r="BH16" i="6"/>
  <c r="AR16" i="6"/>
  <c r="AV16" i="6"/>
  <c r="AB16" i="6"/>
  <c r="BL16" i="6"/>
  <c r="AY16" i="6"/>
  <c r="AJ16" i="6"/>
  <c r="BK16" i="6"/>
  <c r="BE16" i="6"/>
  <c r="BF16" i="6"/>
  <c r="BA16" i="6"/>
  <c r="BM16" i="6"/>
  <c r="AZ16" i="6"/>
  <c r="AW16" i="6"/>
  <c r="AO16" i="6"/>
  <c r="AH16" i="6"/>
  <c r="AK16" i="6"/>
  <c r="BG16" i="6"/>
  <c r="AQ16" i="6"/>
  <c r="AG16" i="6"/>
  <c r="AI16" i="6"/>
  <c r="AF16" i="6"/>
  <c r="AT16" i="6"/>
  <c r="AX16" i="6"/>
  <c r="AN16" i="6"/>
  <c r="AM16" i="6"/>
  <c r="BB16" i="6"/>
  <c r="BJ16" i="6"/>
  <c r="AL16" i="6"/>
  <c r="AS16" i="6"/>
  <c r="AU16" i="6"/>
  <c r="AD16" i="6"/>
  <c r="BI16" i="6"/>
  <c r="AC16" i="6"/>
  <c r="AE16" i="6"/>
  <c r="V16" i="6"/>
  <c r="Y16" i="6"/>
  <c r="W16" i="6"/>
  <c r="X22" i="6"/>
  <c r="AP22" i="6"/>
  <c r="AC24" i="18" s="1"/>
  <c r="AH22" i="6"/>
  <c r="U24" i="18" s="1"/>
  <c r="AG22" i="6"/>
  <c r="T24" i="18" s="1"/>
  <c r="BC22" i="6"/>
  <c r="AP24" i="18" s="1"/>
  <c r="BL22" i="6"/>
  <c r="AY24" i="18" s="1"/>
  <c r="BM22" i="6"/>
  <c r="AZ24" i="18" s="1"/>
  <c r="BD22" i="6"/>
  <c r="AQ24" i="18" s="1"/>
  <c r="BF22" i="6"/>
  <c r="AS24" i="18" s="1"/>
  <c r="AM22" i="6"/>
  <c r="Z24" i="18" s="1"/>
  <c r="AI22" i="6"/>
  <c r="V24" i="18" s="1"/>
  <c r="AT22" i="6"/>
  <c r="AG24" i="18" s="1"/>
  <c r="AZ22" i="6"/>
  <c r="AM24" i="18" s="1"/>
  <c r="AJ22" i="6"/>
  <c r="W24" i="18" s="1"/>
  <c r="AW22" i="6"/>
  <c r="AJ24" i="18" s="1"/>
  <c r="BH22" i="6"/>
  <c r="AU24" i="18" s="1"/>
  <c r="AK22" i="6"/>
  <c r="X24" i="18" s="1"/>
  <c r="BG22" i="6"/>
  <c r="AT24" i="18" s="1"/>
  <c r="AX22" i="6"/>
  <c r="AK24" i="18" s="1"/>
  <c r="BE22" i="6"/>
  <c r="AR24" i="18" s="1"/>
  <c r="BA22" i="6"/>
  <c r="AN24" i="18" s="1"/>
  <c r="AY22" i="6"/>
  <c r="AL24" i="18" s="1"/>
  <c r="AB22" i="6"/>
  <c r="O24" i="18" s="1"/>
  <c r="AN22" i="6"/>
  <c r="AA24" i="18" s="1"/>
  <c r="AR22" i="6"/>
  <c r="AE24" i="18" s="1"/>
  <c r="AF22" i="6"/>
  <c r="S24" i="18" s="1"/>
  <c r="AO22" i="6"/>
  <c r="AB24" i="18" s="1"/>
  <c r="AQ22" i="6"/>
  <c r="AD24" i="18" s="1"/>
  <c r="AV22" i="6"/>
  <c r="AI24" i="18" s="1"/>
  <c r="BK22" i="6"/>
  <c r="AX24" i="18" s="1"/>
  <c r="AD22" i="6"/>
  <c r="Q24" i="18" s="1"/>
  <c r="AS22" i="6"/>
  <c r="AF24" i="18" s="1"/>
  <c r="AL22" i="6"/>
  <c r="Y24" i="18" s="1"/>
  <c r="BJ22" i="6"/>
  <c r="AW24" i="18" s="1"/>
  <c r="AU22" i="6"/>
  <c r="AH24" i="18" s="1"/>
  <c r="BI22" i="6"/>
  <c r="AV24" i="18" s="1"/>
  <c r="AC22" i="6"/>
  <c r="P24" i="18" s="1"/>
  <c r="BB22" i="6"/>
  <c r="AO24" i="18" s="1"/>
  <c r="AE22" i="6"/>
  <c r="R24" i="18" s="1"/>
  <c r="W22" i="6"/>
  <c r="Y22" i="6"/>
  <c r="L24" i="18" s="1"/>
  <c r="X8" i="22" s="1"/>
  <c r="T20" i="6"/>
  <c r="X20" i="6"/>
  <c r="AI20" i="6"/>
  <c r="V22" i="18" s="1"/>
  <c r="BH20" i="6"/>
  <c r="AU22" i="18" s="1"/>
  <c r="BC20" i="6"/>
  <c r="AP22" i="18" s="1"/>
  <c r="AU20" i="6"/>
  <c r="AH22" i="18" s="1"/>
  <c r="AT20" i="6"/>
  <c r="AG22" i="18" s="1"/>
  <c r="AN20" i="6"/>
  <c r="AA22" i="18" s="1"/>
  <c r="AL20" i="6"/>
  <c r="Y22" i="18" s="1"/>
  <c r="AZ20" i="6"/>
  <c r="AM22" i="18" s="1"/>
  <c r="AR20" i="6"/>
  <c r="AE22" i="18" s="1"/>
  <c r="AJ20" i="6"/>
  <c r="W22" i="18" s="1"/>
  <c r="BK20" i="6"/>
  <c r="AX22" i="18" s="1"/>
  <c r="AY20" i="6"/>
  <c r="AL22" i="18" s="1"/>
  <c r="AP20" i="6"/>
  <c r="AC22" i="18" s="1"/>
  <c r="BA20" i="6"/>
  <c r="AN22" i="18" s="1"/>
  <c r="BF20" i="6"/>
  <c r="AS22" i="18" s="1"/>
  <c r="AX20" i="6"/>
  <c r="AK22" i="18" s="1"/>
  <c r="AW20" i="6"/>
  <c r="AJ22" i="18" s="1"/>
  <c r="BG20" i="6"/>
  <c r="AT22" i="18" s="1"/>
  <c r="AV20" i="6"/>
  <c r="AI22" i="18" s="1"/>
  <c r="AK20" i="6"/>
  <c r="X22" i="18" s="1"/>
  <c r="AC20" i="6"/>
  <c r="P22" i="18" s="1"/>
  <c r="BE20" i="6"/>
  <c r="AR22" i="18" s="1"/>
  <c r="AM20" i="6"/>
  <c r="Z22" i="18" s="1"/>
  <c r="AH20" i="6"/>
  <c r="U22" i="18" s="1"/>
  <c r="BL20" i="6"/>
  <c r="AY22" i="18" s="1"/>
  <c r="AG20" i="6"/>
  <c r="T22" i="18" s="1"/>
  <c r="AB20" i="6"/>
  <c r="O22" i="18" s="1"/>
  <c r="AD20" i="6"/>
  <c r="Q22" i="18" s="1"/>
  <c r="AQ20" i="6"/>
  <c r="AD22" i="18" s="1"/>
  <c r="BD20" i="6"/>
  <c r="AQ22" i="18" s="1"/>
  <c r="BM20" i="6"/>
  <c r="AZ22" i="18" s="1"/>
  <c r="AF20" i="6"/>
  <c r="S22" i="18" s="1"/>
  <c r="AO20" i="6"/>
  <c r="AB22" i="18" s="1"/>
  <c r="AS20" i="6"/>
  <c r="AF22" i="18" s="1"/>
  <c r="AE20" i="6"/>
  <c r="R22" i="18" s="1"/>
  <c r="BB20" i="6"/>
  <c r="AO22" i="18" s="1"/>
  <c r="BJ20" i="6"/>
  <c r="AW22" i="18" s="1"/>
  <c r="BI20" i="6"/>
  <c r="AV22" i="18" s="1"/>
  <c r="V20" i="6"/>
  <c r="W20" i="6"/>
  <c r="Y20" i="6"/>
  <c r="L22" i="18" s="1"/>
  <c r="V8" i="22" s="1"/>
  <c r="U20" i="6"/>
  <c r="X19" i="6"/>
  <c r="BA19" i="6"/>
  <c r="AN21" i="18" s="1"/>
  <c r="AR19" i="6"/>
  <c r="AE21" i="18" s="1"/>
  <c r="BF19" i="6"/>
  <c r="AS21" i="18" s="1"/>
  <c r="AJ19" i="6"/>
  <c r="W21" i="18" s="1"/>
  <c r="BC19" i="6"/>
  <c r="AP21" i="18" s="1"/>
  <c r="BM19" i="6"/>
  <c r="AZ21" i="18" s="1"/>
  <c r="AG19" i="6"/>
  <c r="T21" i="18" s="1"/>
  <c r="BG19" i="6"/>
  <c r="AT21" i="18" s="1"/>
  <c r="AP19" i="6"/>
  <c r="AC21" i="18" s="1"/>
  <c r="AV19" i="6"/>
  <c r="AI21" i="18" s="1"/>
  <c r="BE19" i="6"/>
  <c r="AR21" i="18" s="1"/>
  <c r="AW19" i="6"/>
  <c r="AJ21" i="18" s="1"/>
  <c r="AO19" i="6"/>
  <c r="AB21" i="18" s="1"/>
  <c r="AX19" i="6"/>
  <c r="AK21" i="18" s="1"/>
  <c r="AH19" i="6"/>
  <c r="U21" i="18" s="1"/>
  <c r="BK19" i="6"/>
  <c r="AX21" i="18" s="1"/>
  <c r="AU19" i="6"/>
  <c r="AH21" i="18" s="1"/>
  <c r="AN19" i="6"/>
  <c r="AA21" i="18" s="1"/>
  <c r="BH19" i="6"/>
  <c r="AU21" i="18" s="1"/>
  <c r="AB19" i="6"/>
  <c r="O21" i="18" s="1"/>
  <c r="AY19" i="6"/>
  <c r="AL21" i="18" s="1"/>
  <c r="AQ19" i="6"/>
  <c r="AD21" i="18" s="1"/>
  <c r="BL19" i="6"/>
  <c r="AY21" i="18" s="1"/>
  <c r="AM19" i="6"/>
  <c r="Z21" i="18" s="1"/>
  <c r="AF19" i="6"/>
  <c r="S21" i="18" s="1"/>
  <c r="AC19" i="6"/>
  <c r="P21" i="18" s="1"/>
  <c r="BD19" i="6"/>
  <c r="AQ21" i="18" s="1"/>
  <c r="AZ19" i="6"/>
  <c r="AM21" i="18" s="1"/>
  <c r="AL19" i="6"/>
  <c r="Y21" i="18" s="1"/>
  <c r="AT19" i="6"/>
  <c r="AG21" i="18" s="1"/>
  <c r="AI19" i="6"/>
  <c r="V21" i="18" s="1"/>
  <c r="AK19" i="6"/>
  <c r="X21" i="18" s="1"/>
  <c r="AE19" i="6"/>
  <c r="R21" i="18" s="1"/>
  <c r="BI19" i="6"/>
  <c r="AV21" i="18" s="1"/>
  <c r="AS19" i="6"/>
  <c r="AF21" i="18" s="1"/>
  <c r="BB19" i="6"/>
  <c r="AO21" i="18" s="1"/>
  <c r="AD19" i="6"/>
  <c r="Q21" i="18" s="1"/>
  <c r="BJ19" i="6"/>
  <c r="AW21" i="18" s="1"/>
  <c r="Y19" i="6"/>
  <c r="L21" i="18" s="1"/>
  <c r="U8" i="22" s="1"/>
  <c r="V19" i="6"/>
  <c r="W19" i="6"/>
  <c r="U19" i="6"/>
  <c r="L64" i="6"/>
  <c r="X18" i="6"/>
  <c r="AF18" i="6"/>
  <c r="AG18" i="6"/>
  <c r="BC18" i="6"/>
  <c r="AB18" i="6"/>
  <c r="AP18" i="6"/>
  <c r="AY18" i="6"/>
  <c r="AQ18" i="6"/>
  <c r="BA18" i="6"/>
  <c r="AR18" i="6"/>
  <c r="AZ18" i="6"/>
  <c r="AM18" i="6"/>
  <c r="AH18" i="6"/>
  <c r="BD18" i="6"/>
  <c r="BF18" i="6"/>
  <c r="AD18" i="6"/>
  <c r="BE18" i="6"/>
  <c r="BH18" i="6"/>
  <c r="AI18" i="6"/>
  <c r="AN18" i="6"/>
  <c r="AK18" i="6"/>
  <c r="BK18" i="6"/>
  <c r="AT18" i="6"/>
  <c r="AX18" i="6"/>
  <c r="AW18" i="6"/>
  <c r="AO18" i="6"/>
  <c r="AJ18" i="6"/>
  <c r="BM18" i="6"/>
  <c r="AV18" i="6"/>
  <c r="AU18" i="6"/>
  <c r="AL18" i="6"/>
  <c r="BL18" i="6"/>
  <c r="AC18" i="6"/>
  <c r="BG18" i="6"/>
  <c r="BJ18" i="6"/>
  <c r="BB18" i="6"/>
  <c r="AE18" i="6"/>
  <c r="AS18" i="6"/>
  <c r="BI18" i="6"/>
  <c r="Y18" i="6"/>
  <c r="W18" i="6"/>
  <c r="V18" i="6"/>
  <c r="U18" i="6"/>
  <c r="T17" i="6"/>
  <c r="X17" i="6"/>
  <c r="AL17" i="6"/>
  <c r="Y19" i="18" s="1"/>
  <c r="AM17" i="6"/>
  <c r="Z19" i="18" s="1"/>
  <c r="AG17" i="6"/>
  <c r="T19" i="18" s="1"/>
  <c r="BE17" i="6"/>
  <c r="AR19" i="18" s="1"/>
  <c r="AW17" i="6"/>
  <c r="AJ19" i="18" s="1"/>
  <c r="BB17" i="6"/>
  <c r="AO19" i="18" s="1"/>
  <c r="AY17" i="6"/>
  <c r="AL19" i="18" s="1"/>
  <c r="BF17" i="6"/>
  <c r="AS19" i="18" s="1"/>
  <c r="AI17" i="6"/>
  <c r="V19" i="18" s="1"/>
  <c r="AJ17" i="6"/>
  <c r="W19" i="18" s="1"/>
  <c r="AV17" i="6"/>
  <c r="AI19" i="18" s="1"/>
  <c r="BL17" i="6"/>
  <c r="AY19" i="18" s="1"/>
  <c r="BC17" i="6"/>
  <c r="AP19" i="18" s="1"/>
  <c r="BK17" i="6"/>
  <c r="AX19" i="18" s="1"/>
  <c r="AX17" i="6"/>
  <c r="AK19" i="18" s="1"/>
  <c r="AE17" i="6"/>
  <c r="R19" i="18" s="1"/>
  <c r="AT17" i="6"/>
  <c r="AG19" i="18" s="1"/>
  <c r="BD17" i="6"/>
  <c r="AQ19" i="18" s="1"/>
  <c r="AF17" i="6"/>
  <c r="S19" i="18" s="1"/>
  <c r="AN17" i="6"/>
  <c r="AA19" i="18" s="1"/>
  <c r="AP17" i="6"/>
  <c r="AC19" i="18" s="1"/>
  <c r="BA17" i="6"/>
  <c r="AN19" i="18" s="1"/>
  <c r="AQ17" i="6"/>
  <c r="AD19" i="18" s="1"/>
  <c r="AB17" i="6"/>
  <c r="O19" i="18" s="1"/>
  <c r="AU17" i="6"/>
  <c r="AH19" i="18" s="1"/>
  <c r="BJ17" i="6"/>
  <c r="AW19" i="18" s="1"/>
  <c r="AO17" i="6"/>
  <c r="AB19" i="18" s="1"/>
  <c r="BH17" i="6"/>
  <c r="AU19" i="18" s="1"/>
  <c r="AK17" i="6"/>
  <c r="X19" i="18" s="1"/>
  <c r="AC17" i="6"/>
  <c r="P19" i="18" s="1"/>
  <c r="BM17" i="6"/>
  <c r="AZ19" i="18" s="1"/>
  <c r="AZ17" i="6"/>
  <c r="AM19" i="18" s="1"/>
  <c r="AR17" i="6"/>
  <c r="AE19" i="18" s="1"/>
  <c r="AH17" i="6"/>
  <c r="U19" i="18" s="1"/>
  <c r="BG17" i="6"/>
  <c r="AT19" i="18" s="1"/>
  <c r="BI17" i="6"/>
  <c r="AV19" i="18" s="1"/>
  <c r="AD17" i="6"/>
  <c r="Q19" i="18" s="1"/>
  <c r="AS17" i="6"/>
  <c r="AF19" i="18" s="1"/>
  <c r="Y17" i="6"/>
  <c r="L19" i="18" s="1"/>
  <c r="S8" i="22" s="1"/>
  <c r="W17" i="6"/>
  <c r="U17" i="6"/>
  <c r="N64" i="6"/>
  <c r="T18" i="6"/>
  <c r="V17" i="6"/>
  <c r="S18" i="6"/>
  <c r="M64" i="6"/>
  <c r="L62" i="6"/>
  <c r="L63" i="6"/>
  <c r="N62" i="6"/>
  <c r="M63" i="6"/>
  <c r="M62" i="6"/>
  <c r="N63" i="6"/>
  <c r="M61" i="6"/>
  <c r="L61" i="6"/>
  <c r="N61" i="6"/>
  <c r="Q62" i="12"/>
  <c r="Q65" i="12"/>
  <c r="Q64" i="12"/>
  <c r="P63" i="12"/>
  <c r="P64" i="12"/>
  <c r="P65" i="12"/>
  <c r="G46" i="5"/>
  <c r="G63" i="5"/>
  <c r="G43" i="5"/>
  <c r="G49" i="5"/>
  <c r="S14" i="22" l="1"/>
  <c r="S33" i="22" s="1"/>
  <c r="I14" i="22"/>
  <c r="I33" i="22" s="1"/>
  <c r="W14" i="22"/>
  <c r="W33" i="22" s="1"/>
  <c r="U14" i="22"/>
  <c r="U33" i="22" s="1"/>
  <c r="V14" i="22"/>
  <c r="V33" i="22" s="1"/>
  <c r="X14" i="22"/>
  <c r="X33" i="22" s="1"/>
  <c r="Q40" i="6"/>
  <c r="Q43" i="6"/>
  <c r="T45" i="6"/>
  <c r="T44" i="6"/>
  <c r="T55" i="6" s="1"/>
  <c r="V45" i="6"/>
  <c r="V44" i="6"/>
  <c r="V55" i="6" s="1"/>
  <c r="X41" i="6"/>
  <c r="X54" i="6" s="1"/>
  <c r="X42" i="6"/>
  <c r="Q49" i="6"/>
  <c r="U45" i="6"/>
  <c r="U44" i="6"/>
  <c r="U55" i="6" s="1"/>
  <c r="Q46" i="6"/>
  <c r="W41" i="6"/>
  <c r="W54" i="6" s="1"/>
  <c r="W42" i="6"/>
  <c r="S45" i="6"/>
  <c r="S63" i="6" s="1"/>
  <c r="S44" i="6"/>
  <c r="S55" i="6" s="1"/>
  <c r="V42" i="6"/>
  <c r="V41" i="6"/>
  <c r="V54" i="6" s="1"/>
  <c r="U48" i="6"/>
  <c r="U47" i="6"/>
  <c r="U56" i="6" s="1"/>
  <c r="X44" i="6"/>
  <c r="X55" i="6" s="1"/>
  <c r="X45" i="6"/>
  <c r="S42" i="6"/>
  <c r="S41" i="6"/>
  <c r="U42" i="6"/>
  <c r="U62" i="6" s="1"/>
  <c r="U41" i="6"/>
  <c r="U54" i="6" s="1"/>
  <c r="S47" i="6"/>
  <c r="S48" i="6"/>
  <c r="V48" i="6"/>
  <c r="V47" i="6"/>
  <c r="V56" i="6" s="1"/>
  <c r="T42" i="6"/>
  <c r="T41" i="6"/>
  <c r="W48" i="6"/>
  <c r="W47" i="6"/>
  <c r="W56" i="6" s="1"/>
  <c r="X48" i="6"/>
  <c r="X47" i="6"/>
  <c r="X56" i="6" s="1"/>
  <c r="Q55" i="6"/>
  <c r="T47" i="6"/>
  <c r="T56" i="6" s="1"/>
  <c r="T48" i="6"/>
  <c r="W45" i="6"/>
  <c r="W44" i="6"/>
  <c r="W55" i="6" s="1"/>
  <c r="AM48" i="6"/>
  <c r="AM49" i="6" s="1"/>
  <c r="AM47" i="6"/>
  <c r="AM56" i="6" s="1"/>
  <c r="Y17" i="18"/>
  <c r="AL41" i="6"/>
  <c r="AL54" i="6" s="1"/>
  <c r="AL42" i="6"/>
  <c r="AL43" i="6" s="1"/>
  <c r="BJ48" i="6"/>
  <c r="BJ49" i="6" s="1"/>
  <c r="BJ47" i="6"/>
  <c r="BJ56" i="6" s="1"/>
  <c r="AJ47" i="6"/>
  <c r="AJ56" i="6" s="1"/>
  <c r="AJ48" i="6"/>
  <c r="AJ49" i="6" s="1"/>
  <c r="AI47" i="6"/>
  <c r="AI48" i="6"/>
  <c r="AI49" i="6" s="1"/>
  <c r="AZ47" i="6"/>
  <c r="AZ56" i="6" s="1"/>
  <c r="AZ48" i="6"/>
  <c r="AZ49" i="6" s="1"/>
  <c r="AG47" i="6"/>
  <c r="AG56" i="6" s="1"/>
  <c r="AG48" i="6"/>
  <c r="AG49" i="6" s="1"/>
  <c r="AV18" i="18"/>
  <c r="BI44" i="6"/>
  <c r="BI45" i="6" s="1"/>
  <c r="BI46" i="6" s="1"/>
  <c r="AA18" i="18"/>
  <c r="AN44" i="6"/>
  <c r="X18" i="18"/>
  <c r="AK44" i="6"/>
  <c r="AR18" i="18"/>
  <c r="BE44" i="6"/>
  <c r="AU18" i="18"/>
  <c r="BH44" i="6"/>
  <c r="AH17" i="18"/>
  <c r="AU41" i="6"/>
  <c r="AU54" i="6" s="1"/>
  <c r="AU42" i="6"/>
  <c r="AU43" i="6" s="1"/>
  <c r="AV17" i="18"/>
  <c r="BI41" i="6"/>
  <c r="BI54" i="6" s="1"/>
  <c r="BI42" i="6"/>
  <c r="BI43" i="6" s="1"/>
  <c r="S17" i="18"/>
  <c r="AF42" i="6"/>
  <c r="AF43" i="6" s="1"/>
  <c r="AF41" i="6"/>
  <c r="AF54" i="6" s="1"/>
  <c r="AK17" i="18"/>
  <c r="AX42" i="6"/>
  <c r="AX41" i="6"/>
  <c r="AX54" i="6" s="1"/>
  <c r="AB17" i="18"/>
  <c r="AO42" i="6"/>
  <c r="AO43" i="6" s="1"/>
  <c r="AO41" i="6"/>
  <c r="AO54" i="6" s="1"/>
  <c r="AN48" i="6"/>
  <c r="AN49" i="6" s="1"/>
  <c r="AN47" i="6"/>
  <c r="AN56" i="6" s="1"/>
  <c r="AS18" i="18"/>
  <c r="BF44" i="6"/>
  <c r="AC17" i="18"/>
  <c r="AP42" i="6"/>
  <c r="AP41" i="6"/>
  <c r="AP54" i="6" s="1"/>
  <c r="BG47" i="6"/>
  <c r="BG48" i="6"/>
  <c r="BG49" i="6" s="1"/>
  <c r="AO47" i="6"/>
  <c r="AO56" i="6" s="1"/>
  <c r="AO48" i="6"/>
  <c r="AO49" i="6" s="1"/>
  <c r="BH47" i="6"/>
  <c r="BH56" i="6" s="1"/>
  <c r="BH48" i="6"/>
  <c r="BH49" i="6" s="1"/>
  <c r="AR47" i="6"/>
  <c r="AR56" i="6" s="1"/>
  <c r="AR48" i="6"/>
  <c r="AR49" i="6" s="1"/>
  <c r="AF48" i="6"/>
  <c r="AF47" i="6"/>
  <c r="AF56" i="6" s="1"/>
  <c r="Q18" i="18"/>
  <c r="AD44" i="6"/>
  <c r="AK18" i="18"/>
  <c r="AX44" i="6"/>
  <c r="U18" i="18"/>
  <c r="AH44" i="6"/>
  <c r="AX18" i="18"/>
  <c r="BK44" i="6"/>
  <c r="AC18" i="18"/>
  <c r="AP44" i="6"/>
  <c r="P17" i="18"/>
  <c r="AC41" i="6"/>
  <c r="AC54" i="6" s="1"/>
  <c r="AC42" i="6"/>
  <c r="X17" i="18"/>
  <c r="AK41" i="6"/>
  <c r="AK54" i="6" s="1"/>
  <c r="AK42" i="6"/>
  <c r="AK43" i="6" s="1"/>
  <c r="V17" i="18"/>
  <c r="AI42" i="6"/>
  <c r="AI41" i="6"/>
  <c r="O17" i="18"/>
  <c r="AB41" i="6"/>
  <c r="AB54" i="6" s="1"/>
  <c r="AB42" i="6"/>
  <c r="AB43" i="6" s="1"/>
  <c r="AA17" i="18"/>
  <c r="AN42" i="6"/>
  <c r="AN43" i="6" s="1"/>
  <c r="AN41" i="6"/>
  <c r="AN54" i="6" s="1"/>
  <c r="AE18" i="18"/>
  <c r="AR44" i="6"/>
  <c r="AC48" i="6"/>
  <c r="AC49" i="6" s="1"/>
  <c r="AC47" i="6"/>
  <c r="AC56" i="6" s="1"/>
  <c r="AW47" i="6"/>
  <c r="AW56" i="6" s="1"/>
  <c r="AW48" i="6"/>
  <c r="BE47" i="6"/>
  <c r="BE56" i="6" s="1"/>
  <c r="BE48" i="6"/>
  <c r="BA48" i="6"/>
  <c r="BA47" i="6"/>
  <c r="BA56" i="6" s="1"/>
  <c r="AH18" i="18"/>
  <c r="AU44" i="6"/>
  <c r="AG18" i="18"/>
  <c r="AT44" i="6"/>
  <c r="AB18" i="18"/>
  <c r="AO44" i="6"/>
  <c r="W18" i="18"/>
  <c r="AJ44" i="6"/>
  <c r="AP18" i="18"/>
  <c r="BC44" i="6"/>
  <c r="Q17" i="18"/>
  <c r="AD42" i="6"/>
  <c r="AD43" i="6" s="1"/>
  <c r="AD41" i="6"/>
  <c r="AD54" i="6" s="1"/>
  <c r="AT17" i="18"/>
  <c r="BG42" i="6"/>
  <c r="BG41" i="6"/>
  <c r="BG54" i="6" s="1"/>
  <c r="AL17" i="18"/>
  <c r="AY42" i="6"/>
  <c r="AY41" i="6"/>
  <c r="W17" i="18"/>
  <c r="AJ41" i="6"/>
  <c r="AJ54" i="6" s="1"/>
  <c r="AJ42" i="6"/>
  <c r="AN17" i="18"/>
  <c r="BA41" i="6"/>
  <c r="BA54" i="6" s="1"/>
  <c r="BA42" i="6"/>
  <c r="BA43" i="6" s="1"/>
  <c r="AT18" i="18"/>
  <c r="BG44" i="6"/>
  <c r="Y47" i="6"/>
  <c r="Y56" i="6" s="1"/>
  <c r="Y48" i="6"/>
  <c r="BL48" i="6"/>
  <c r="BL47" i="6"/>
  <c r="BL56" i="6" s="1"/>
  <c r="AX47" i="6"/>
  <c r="AX56" i="6" s="1"/>
  <c r="AX48" i="6"/>
  <c r="AD48" i="6"/>
  <c r="AD49" i="6" s="1"/>
  <c r="AD47" i="6"/>
  <c r="AD56" i="6" s="1"/>
  <c r="AQ47" i="6"/>
  <c r="AQ56" i="6" s="1"/>
  <c r="AQ48" i="6"/>
  <c r="AQ49" i="6" s="1"/>
  <c r="AF18" i="18"/>
  <c r="AS44" i="6"/>
  <c r="S18" i="18"/>
  <c r="AF44" i="6"/>
  <c r="AJ18" i="18"/>
  <c r="AW44" i="6"/>
  <c r="AL18" i="18"/>
  <c r="AY44" i="6"/>
  <c r="AQ18" i="18"/>
  <c r="BD44" i="6"/>
  <c r="AF17" i="18"/>
  <c r="AS41" i="6"/>
  <c r="AS54" i="6" s="1"/>
  <c r="AS42" i="6"/>
  <c r="AZ17" i="18"/>
  <c r="BM42" i="6"/>
  <c r="BM41" i="6"/>
  <c r="BM54" i="6" s="1"/>
  <c r="T17" i="18"/>
  <c r="AG42" i="6"/>
  <c r="AG43" i="6" s="1"/>
  <c r="AG41" i="6"/>
  <c r="AG54" i="6" s="1"/>
  <c r="AM17" i="18"/>
  <c r="AZ41" i="6"/>
  <c r="AZ54" i="6" s="1"/>
  <c r="AZ42" i="6"/>
  <c r="AZ43" i="6" s="1"/>
  <c r="AX17" i="18"/>
  <c r="BK41" i="6"/>
  <c r="BK54" i="6" s="1"/>
  <c r="BK42" i="6"/>
  <c r="BC48" i="6"/>
  <c r="BC47" i="6"/>
  <c r="BC56" i="6" s="1"/>
  <c r="U17" i="18"/>
  <c r="AH42" i="6"/>
  <c r="AH41" i="6"/>
  <c r="BI48" i="6"/>
  <c r="BI47" i="6"/>
  <c r="BI56" i="6" s="1"/>
  <c r="AL48" i="6"/>
  <c r="AL47" i="6"/>
  <c r="AL56" i="6" s="1"/>
  <c r="AT48" i="6"/>
  <c r="AT49" i="6" s="1"/>
  <c r="AT47" i="6"/>
  <c r="AT56" i="6" s="1"/>
  <c r="BF47" i="6"/>
  <c r="BF56" i="6" s="1"/>
  <c r="BF48" i="6"/>
  <c r="BF49" i="6" s="1"/>
  <c r="AY47" i="6"/>
  <c r="AY56" i="6" s="1"/>
  <c r="AY48" i="6"/>
  <c r="AY49" i="6" s="1"/>
  <c r="L18" i="18"/>
  <c r="Y44" i="6"/>
  <c r="Y55" i="6" s="1"/>
  <c r="Y45" i="6"/>
  <c r="Y18" i="18"/>
  <c r="AL44" i="6"/>
  <c r="V18" i="18"/>
  <c r="AI44" i="6"/>
  <c r="AM18" i="18"/>
  <c r="AZ44" i="6"/>
  <c r="AY18" i="18"/>
  <c r="BL44" i="6"/>
  <c r="AO17" i="18"/>
  <c r="BB41" i="6"/>
  <c r="BB54" i="6" s="1"/>
  <c r="BB42" i="6"/>
  <c r="BB43" i="6" s="1"/>
  <c r="AY17" i="18"/>
  <c r="BL42" i="6"/>
  <c r="BL43" i="6" s="1"/>
  <c r="BL41" i="6"/>
  <c r="BL54" i="6" s="1"/>
  <c r="AI17" i="18"/>
  <c r="AV42" i="6"/>
  <c r="AV41" i="6"/>
  <c r="AV54" i="6" s="1"/>
  <c r="AU17" i="18"/>
  <c r="BH41" i="6"/>
  <c r="BH54" i="6" s="1"/>
  <c r="BH42" i="6"/>
  <c r="AE17" i="18"/>
  <c r="AR41" i="6"/>
  <c r="AR54" i="6" s="1"/>
  <c r="AR42" i="6"/>
  <c r="AR43" i="6" s="1"/>
  <c r="BM47" i="6"/>
  <c r="BM56" i="6" s="1"/>
  <c r="BM48" i="6"/>
  <c r="BM49" i="6" s="1"/>
  <c r="Z18" i="18"/>
  <c r="AM44" i="6"/>
  <c r="AS17" i="18"/>
  <c r="BF42" i="6"/>
  <c r="BF43" i="6" s="1"/>
  <c r="BF41" i="6"/>
  <c r="BF54" i="6" s="1"/>
  <c r="AS48" i="6"/>
  <c r="AS47" i="6"/>
  <c r="AS56" i="6" s="1"/>
  <c r="AU47" i="6"/>
  <c r="AU56" i="6" s="1"/>
  <c r="AU48" i="6"/>
  <c r="BK48" i="6"/>
  <c r="BK49" i="6" s="1"/>
  <c r="BK47" i="6"/>
  <c r="BK56" i="6" s="1"/>
  <c r="BD48" i="6"/>
  <c r="BD49" i="6" s="1"/>
  <c r="BD47" i="6"/>
  <c r="BD56" i="6" s="1"/>
  <c r="AP47" i="6"/>
  <c r="AP56" i="6" s="1"/>
  <c r="AP48" i="6"/>
  <c r="AP49" i="6" s="1"/>
  <c r="AW18" i="18"/>
  <c r="BJ44" i="6"/>
  <c r="T18" i="18"/>
  <c r="AG44" i="6"/>
  <c r="AZ18" i="18"/>
  <c r="BM44" i="6"/>
  <c r="O18" i="18"/>
  <c r="AB44" i="6"/>
  <c r="R17" i="18"/>
  <c r="AE41" i="6"/>
  <c r="AE54" i="6" s="1"/>
  <c r="AE42" i="6"/>
  <c r="AE43" i="6" s="1"/>
  <c r="AJ17" i="18"/>
  <c r="AW42" i="6"/>
  <c r="AW43" i="6" s="1"/>
  <c r="AW41" i="6"/>
  <c r="AW54" i="6" s="1"/>
  <c r="AP17" i="18"/>
  <c r="BC41" i="6"/>
  <c r="BC54" i="6" s="1"/>
  <c r="BC42" i="6"/>
  <c r="BC43" i="6" s="1"/>
  <c r="AR17" i="18"/>
  <c r="BE42" i="6"/>
  <c r="BE43" i="6" s="1"/>
  <c r="BE41" i="6"/>
  <c r="BE54" i="6" s="1"/>
  <c r="AG17" i="18"/>
  <c r="AT41" i="6"/>
  <c r="AT54" i="6" s="1"/>
  <c r="AT42" i="6"/>
  <c r="AT43" i="6" s="1"/>
  <c r="BB48" i="6"/>
  <c r="BB47" i="6"/>
  <c r="BB56" i="6" s="1"/>
  <c r="P18" i="18"/>
  <c r="AC44" i="6"/>
  <c r="AE48" i="6"/>
  <c r="AE47" i="6"/>
  <c r="AE56" i="6" s="1"/>
  <c r="AV48" i="6"/>
  <c r="AV49" i="6" s="1"/>
  <c r="AV47" i="6"/>
  <c r="AV56" i="6" s="1"/>
  <c r="AK48" i="6"/>
  <c r="AK49" i="6" s="1"/>
  <c r="AK47" i="6"/>
  <c r="AK56" i="6" s="1"/>
  <c r="AH47" i="6"/>
  <c r="AH56" i="6" s="1"/>
  <c r="AH48" i="6"/>
  <c r="AH49" i="6" s="1"/>
  <c r="AB47" i="6"/>
  <c r="AB56" i="6" s="1"/>
  <c r="AB48" i="6"/>
  <c r="AB49" i="6" s="1"/>
  <c r="R18" i="18"/>
  <c r="AE44" i="6"/>
  <c r="AO18" i="18"/>
  <c r="BB44" i="6"/>
  <c r="AD18" i="18"/>
  <c r="AQ44" i="6"/>
  <c r="AN18" i="18"/>
  <c r="BA44" i="6"/>
  <c r="AI18" i="18"/>
  <c r="AV44" i="6"/>
  <c r="L17" i="18"/>
  <c r="Q8" i="22" s="1"/>
  <c r="H7" i="29" s="1"/>
  <c r="Y42" i="6"/>
  <c r="Y41" i="6"/>
  <c r="Y54" i="6" s="1"/>
  <c r="AW17" i="18"/>
  <c r="BJ41" i="6"/>
  <c r="BJ54" i="6" s="1"/>
  <c r="BJ42" i="6"/>
  <c r="BJ43" i="6" s="1"/>
  <c r="Z17" i="18"/>
  <c r="AM41" i="6"/>
  <c r="AM54" i="6" s="1"/>
  <c r="AM42" i="6"/>
  <c r="AM43" i="6" s="1"/>
  <c r="AQ17" i="18"/>
  <c r="BD42" i="6"/>
  <c r="BD41" i="6"/>
  <c r="BD54" i="6" s="1"/>
  <c r="AD17" i="18"/>
  <c r="AQ42" i="6"/>
  <c r="AQ43" i="6" s="1"/>
  <c r="AQ41" i="6"/>
  <c r="AA20" i="18"/>
  <c r="AP20" i="18"/>
  <c r="AW20" i="18"/>
  <c r="W20" i="18"/>
  <c r="AI56" i="6"/>
  <c r="V20" i="18"/>
  <c r="AM20" i="18"/>
  <c r="T20" i="18"/>
  <c r="Z20" i="18"/>
  <c r="AT20" i="18"/>
  <c r="AB20" i="18"/>
  <c r="AU20" i="18"/>
  <c r="AE20" i="18"/>
  <c r="S20" i="18"/>
  <c r="S56" i="6"/>
  <c r="P20" i="18"/>
  <c r="AJ20" i="18"/>
  <c r="AR20" i="18"/>
  <c r="AN20" i="18"/>
  <c r="L20" i="18"/>
  <c r="T8" i="22" s="1"/>
  <c r="D7" i="29" s="1"/>
  <c r="AY20" i="18"/>
  <c r="AK20" i="18"/>
  <c r="Q20" i="18"/>
  <c r="AD20" i="18"/>
  <c r="AO20" i="18"/>
  <c r="AV20" i="18"/>
  <c r="Y20" i="18"/>
  <c r="AG20" i="18"/>
  <c r="AS20" i="18"/>
  <c r="AL20" i="18"/>
  <c r="Q64" i="6"/>
  <c r="AZ20" i="18"/>
  <c r="AF20" i="18"/>
  <c r="AH20" i="18"/>
  <c r="AX20" i="18"/>
  <c r="AQ20" i="18"/>
  <c r="AC20" i="18"/>
  <c r="R20" i="18"/>
  <c r="AI20" i="18"/>
  <c r="X20" i="18"/>
  <c r="U20" i="18"/>
  <c r="O20" i="18"/>
  <c r="Q63" i="6"/>
  <c r="Q62" i="6"/>
  <c r="T63" i="6"/>
  <c r="Q61" i="6"/>
  <c r="K18" i="3"/>
  <c r="I18" i="3"/>
  <c r="K17" i="3"/>
  <c r="I17" i="3"/>
  <c r="D18" i="3"/>
  <c r="C18" i="3"/>
  <c r="B18" i="3"/>
  <c r="A18" i="3"/>
  <c r="D17" i="3"/>
  <c r="C17" i="3"/>
  <c r="B17" i="3"/>
  <c r="A17" i="3"/>
  <c r="AX18" i="5" a="1"/>
  <c r="AX18" i="5" s="1"/>
  <c r="AX17" i="5" a="1"/>
  <c r="AX17" i="5" s="1"/>
  <c r="AW18" i="5" a="1"/>
  <c r="AW18" i="5" s="1"/>
  <c r="AV18" i="5"/>
  <c r="AU18" i="5"/>
  <c r="AT18" i="5"/>
  <c r="AW17" i="5" a="1"/>
  <c r="AW17" i="5" s="1"/>
  <c r="AV17" i="5"/>
  <c r="AU17" i="5"/>
  <c r="AT17" i="5"/>
  <c r="AL18" i="5" a="1"/>
  <c r="AL18" i="5" s="1"/>
  <c r="AL17" i="5" a="1"/>
  <c r="AL17" i="5" s="1"/>
  <c r="AE18" i="5" a="1"/>
  <c r="AE18" i="5" s="1"/>
  <c r="AE17" i="5" a="1"/>
  <c r="AE17" i="5" s="1"/>
  <c r="BI55" i="6" l="1"/>
  <c r="AX49" i="6"/>
  <c r="BC49" i="6"/>
  <c r="BG43" i="6"/>
  <c r="BA49" i="6"/>
  <c r="T14" i="22"/>
  <c r="Q14" i="22"/>
  <c r="BD43" i="6"/>
  <c r="BJ55" i="6"/>
  <c r="BJ45" i="6"/>
  <c r="BJ46" i="6" s="1"/>
  <c r="AU49" i="6"/>
  <c r="AL46" i="6"/>
  <c r="AL45" i="6"/>
  <c r="AH43" i="6"/>
  <c r="AS43" i="6"/>
  <c r="AY43" i="6"/>
  <c r="BC45" i="6"/>
  <c r="BC46" i="6"/>
  <c r="AU55" i="6"/>
  <c r="AU45" i="6"/>
  <c r="AU46" i="6"/>
  <c r="AC43" i="6"/>
  <c r="AP43" i="6"/>
  <c r="AQ55" i="6"/>
  <c r="AQ45" i="6"/>
  <c r="AQ63" i="6" s="1"/>
  <c r="AQ46" i="6"/>
  <c r="BE55" i="6"/>
  <c r="BE45" i="6"/>
  <c r="BE63" i="6" s="1"/>
  <c r="BE46" i="6"/>
  <c r="AF55" i="6"/>
  <c r="AF45" i="6"/>
  <c r="AF46" i="6"/>
  <c r="AX55" i="6"/>
  <c r="AX45" i="6"/>
  <c r="AX46" i="6" s="1"/>
  <c r="AK55" i="6"/>
  <c r="AK46" i="6"/>
  <c r="AK45" i="6"/>
  <c r="AM55" i="6"/>
  <c r="AM45" i="6"/>
  <c r="AM46" i="6" s="1"/>
  <c r="BB55" i="6"/>
  <c r="BB46" i="6"/>
  <c r="BB45" i="6"/>
  <c r="BB63" i="6" s="1"/>
  <c r="BB49" i="6"/>
  <c r="AB55" i="6"/>
  <c r="AB45" i="6"/>
  <c r="AB46" i="6" s="1"/>
  <c r="AV43" i="6"/>
  <c r="BL55" i="6"/>
  <c r="BL46" i="6"/>
  <c r="BL45" i="6"/>
  <c r="AJ55" i="6"/>
  <c r="AJ45" i="6"/>
  <c r="AJ46" i="6" s="1"/>
  <c r="AR55" i="6"/>
  <c r="AR45" i="6"/>
  <c r="AR46" i="6" s="1"/>
  <c r="BF55" i="6"/>
  <c r="BF45" i="6"/>
  <c r="BF63" i="6" s="1"/>
  <c r="AX43" i="6"/>
  <c r="AH55" i="6"/>
  <c r="AH45" i="6"/>
  <c r="AH46" i="6" s="1"/>
  <c r="AV45" i="6"/>
  <c r="AV63" i="6" s="1"/>
  <c r="AV46" i="6"/>
  <c r="AE55" i="6"/>
  <c r="AE45" i="6"/>
  <c r="AE46" i="6" s="1"/>
  <c r="AS49" i="6"/>
  <c r="BD55" i="6"/>
  <c r="BD45" i="6"/>
  <c r="BD46" i="6"/>
  <c r="AS55" i="6"/>
  <c r="AS45" i="6"/>
  <c r="AS46" i="6" s="1"/>
  <c r="AI43" i="6"/>
  <c r="AP55" i="6"/>
  <c r="AP46" i="6"/>
  <c r="AP45" i="6"/>
  <c r="AD55" i="6"/>
  <c r="AD46" i="6"/>
  <c r="AD45" i="6"/>
  <c r="AN45" i="6"/>
  <c r="AN46" i="6" s="1"/>
  <c r="AC55" i="6"/>
  <c r="AC46" i="6"/>
  <c r="AC45" i="6"/>
  <c r="AC63" i="6" s="1"/>
  <c r="AW55" i="6"/>
  <c r="AW45" i="6"/>
  <c r="AW46" i="6"/>
  <c r="BM55" i="6"/>
  <c r="BM45" i="6"/>
  <c r="BM46" i="6" s="1"/>
  <c r="AZ55" i="6"/>
  <c r="AZ46" i="6"/>
  <c r="AZ45" i="6"/>
  <c r="AZ63" i="6" s="1"/>
  <c r="AL49" i="6"/>
  <c r="BK43" i="6"/>
  <c r="BL49" i="6"/>
  <c r="AJ43" i="6"/>
  <c r="AO55" i="6"/>
  <c r="AO45" i="6"/>
  <c r="AO46" i="6" s="1"/>
  <c r="BE49" i="6"/>
  <c r="BA55" i="6"/>
  <c r="BA45" i="6"/>
  <c r="BA46" i="6" s="1"/>
  <c r="AY55" i="6"/>
  <c r="AY45" i="6"/>
  <c r="AY46" i="6" s="1"/>
  <c r="BK55" i="6"/>
  <c r="BK45" i="6"/>
  <c r="BK46" i="6" s="1"/>
  <c r="BH55" i="6"/>
  <c r="BH45" i="6"/>
  <c r="BH46" i="6" s="1"/>
  <c r="BG55" i="6"/>
  <c r="BG46" i="6"/>
  <c r="BG45" i="6"/>
  <c r="AE49" i="6"/>
  <c r="AG55" i="6"/>
  <c r="AG45" i="6"/>
  <c r="AG63" i="6" s="1"/>
  <c r="BH43" i="6"/>
  <c r="AI55" i="6"/>
  <c r="AI45" i="6"/>
  <c r="AI46" i="6" s="1"/>
  <c r="BI49" i="6"/>
  <c r="BM43" i="6"/>
  <c r="AT55" i="6"/>
  <c r="AT45" i="6"/>
  <c r="AT46" i="6"/>
  <c r="AW49" i="6"/>
  <c r="AF49" i="6"/>
  <c r="T43" i="6"/>
  <c r="AE47" i="5"/>
  <c r="AE56" i="5" s="1"/>
  <c r="AE48" i="5"/>
  <c r="AU48" i="5"/>
  <c r="AU47" i="5"/>
  <c r="AU56" i="5" s="1"/>
  <c r="AV47" i="5"/>
  <c r="AV56" i="5" s="1"/>
  <c r="AV48" i="5"/>
  <c r="AW47" i="5"/>
  <c r="AW56" i="5" s="1"/>
  <c r="AW48" i="5"/>
  <c r="AT47" i="5"/>
  <c r="AT56" i="5" s="1"/>
  <c r="AT48" i="5"/>
  <c r="AL48" i="5"/>
  <c r="AL47" i="5"/>
  <c r="AL56" i="5" s="1"/>
  <c r="AX47" i="5"/>
  <c r="AX56" i="5" s="1"/>
  <c r="AX48" i="5"/>
  <c r="V43" i="6"/>
  <c r="S43" i="6"/>
  <c r="V46" i="6"/>
  <c r="T54" i="6"/>
  <c r="W49" i="6"/>
  <c r="S49" i="6"/>
  <c r="U49" i="6"/>
  <c r="T46" i="6"/>
  <c r="X43" i="6"/>
  <c r="U43" i="6"/>
  <c r="X49" i="6"/>
  <c r="U46" i="6"/>
  <c r="Y43" i="6"/>
  <c r="W46" i="6"/>
  <c r="V49" i="6"/>
  <c r="X46" i="6"/>
  <c r="S46" i="6"/>
  <c r="W43" i="6"/>
  <c r="S54" i="6"/>
  <c r="T49" i="6"/>
  <c r="AQ54" i="6"/>
  <c r="AY54" i="6"/>
  <c r="BC55" i="6"/>
  <c r="BG56" i="6"/>
  <c r="AV55" i="6"/>
  <c r="AH54" i="6"/>
  <c r="Y46" i="6"/>
  <c r="Y49" i="6"/>
  <c r="AI54" i="6"/>
  <c r="AL55" i="6"/>
  <c r="AN55" i="6"/>
  <c r="AE64" i="6"/>
  <c r="AX64" i="6"/>
  <c r="AI64" i="6"/>
  <c r="U64" i="6"/>
  <c r="AH64" i="6"/>
  <c r="AY64" i="6"/>
  <c r="AL64" i="6"/>
  <c r="X64" i="6"/>
  <c r="AW64" i="6"/>
  <c r="S64" i="6"/>
  <c r="AG64" i="6"/>
  <c r="BK64" i="6"/>
  <c r="BL64" i="6"/>
  <c r="AF64" i="6"/>
  <c r="BH64" i="6"/>
  <c r="V64" i="6"/>
  <c r="BC64" i="6"/>
  <c r="AV64" i="6"/>
  <c r="Y64" i="6"/>
  <c r="BM64" i="6"/>
  <c r="BI64" i="6"/>
  <c r="AQ64" i="6"/>
  <c r="BA64" i="6"/>
  <c r="AJ64" i="6"/>
  <c r="AK64" i="6"/>
  <c r="BF64" i="6"/>
  <c r="AD64" i="6"/>
  <c r="AO64" i="6"/>
  <c r="T64" i="6"/>
  <c r="AB64" i="6"/>
  <c r="AP64" i="6"/>
  <c r="AU64" i="6"/>
  <c r="BE64" i="6"/>
  <c r="AC64" i="6"/>
  <c r="AR64" i="6"/>
  <c r="AZ64" i="6"/>
  <c r="BJ64" i="6"/>
  <c r="AN64" i="6"/>
  <c r="AS64" i="6"/>
  <c r="W64" i="6"/>
  <c r="BD64" i="6"/>
  <c r="AT64" i="6"/>
  <c r="BB64" i="6"/>
  <c r="BG64" i="6"/>
  <c r="AM64" i="6"/>
  <c r="AW62" i="6"/>
  <c r="W63" i="6"/>
  <c r="AF62" i="6"/>
  <c r="AO63" i="6"/>
  <c r="AY62" i="6"/>
  <c r="BJ62" i="6"/>
  <c r="AY63" i="6"/>
  <c r="AQ62" i="6"/>
  <c r="AI62" i="6"/>
  <c r="T62" i="6"/>
  <c r="AJ62" i="6"/>
  <c r="BD62" i="6"/>
  <c r="AR63" i="6"/>
  <c r="AS62" i="6"/>
  <c r="AM62" i="6"/>
  <c r="V63" i="6"/>
  <c r="AX62" i="6"/>
  <c r="BL62" i="6"/>
  <c r="X63" i="6"/>
  <c r="AT63" i="6"/>
  <c r="AL63" i="6"/>
  <c r="BG62" i="6"/>
  <c r="AT62" i="6"/>
  <c r="AK62" i="6"/>
  <c r="AD62" i="6"/>
  <c r="AC62" i="6"/>
  <c r="BA63" i="6"/>
  <c r="AP62" i="6"/>
  <c r="BI62" i="6"/>
  <c r="BK62" i="6"/>
  <c r="AR62" i="6"/>
  <c r="AE62" i="6"/>
  <c r="BA62" i="6"/>
  <c r="S62" i="6"/>
  <c r="BE62" i="6"/>
  <c r="AN62" i="6"/>
  <c r="AF63" i="6"/>
  <c r="AS63" i="6"/>
  <c r="AH62" i="6"/>
  <c r="AK63" i="6"/>
  <c r="AL62" i="6"/>
  <c r="BL63" i="6"/>
  <c r="BB62" i="6"/>
  <c r="BD63" i="6"/>
  <c r="AH63" i="6"/>
  <c r="BC63" i="6"/>
  <c r="AW63" i="6"/>
  <c r="AO62" i="6"/>
  <c r="Y62" i="6"/>
  <c r="BK63" i="6"/>
  <c r="AU62" i="6"/>
  <c r="BG63" i="6"/>
  <c r="AN63" i="6"/>
  <c r="AD63" i="6"/>
  <c r="BI63" i="6"/>
  <c r="Y63" i="6"/>
  <c r="AG62" i="6"/>
  <c r="BH62" i="6"/>
  <c r="W62" i="6"/>
  <c r="AI63" i="6"/>
  <c r="V62" i="6"/>
  <c r="X62" i="6"/>
  <c r="BC62" i="6"/>
  <c r="BM62" i="6"/>
  <c r="AP63" i="6"/>
  <c r="AB62" i="6"/>
  <c r="AV62" i="6"/>
  <c r="BF62" i="6"/>
  <c r="AX63" i="6"/>
  <c r="AZ62" i="6"/>
  <c r="U63" i="6"/>
  <c r="AU63" i="6"/>
  <c r="I56" i="3"/>
  <c r="K56" i="3"/>
  <c r="D24" i="6"/>
  <c r="C24" i="6"/>
  <c r="B24" i="6"/>
  <c r="A24" i="6"/>
  <c r="A26" i="18" s="1"/>
  <c r="D23" i="6"/>
  <c r="C23" i="6"/>
  <c r="B23" i="6"/>
  <c r="A23" i="6"/>
  <c r="A25" i="18" s="1"/>
  <c r="D22" i="6"/>
  <c r="C22" i="6"/>
  <c r="B22" i="6"/>
  <c r="A22" i="6"/>
  <c r="A24" i="18" s="1"/>
  <c r="D21" i="6"/>
  <c r="C21" i="6"/>
  <c r="B21" i="6"/>
  <c r="A21" i="6"/>
  <c r="A23" i="18" s="1"/>
  <c r="D20" i="6"/>
  <c r="C20" i="6"/>
  <c r="B20" i="6"/>
  <c r="A20" i="6"/>
  <c r="A22" i="18" s="1"/>
  <c r="D19" i="6"/>
  <c r="C19" i="6"/>
  <c r="B19" i="6"/>
  <c r="A19" i="6"/>
  <c r="A21" i="18" s="1"/>
  <c r="D18" i="6"/>
  <c r="C18" i="6"/>
  <c r="B18" i="6"/>
  <c r="A18" i="6"/>
  <c r="A20" i="18" s="1"/>
  <c r="D17" i="6"/>
  <c r="C17" i="6"/>
  <c r="B17" i="6"/>
  <c r="A17" i="6"/>
  <c r="A19" i="18" s="1"/>
  <c r="AG46" i="6" l="1"/>
  <c r="BF46" i="6"/>
  <c r="BJ63" i="6"/>
  <c r="AB63" i="6"/>
  <c r="T33" i="22"/>
  <c r="D32" i="29" s="1"/>
  <c r="D13" i="29"/>
  <c r="Q33" i="22"/>
  <c r="H32" i="29" s="1"/>
  <c r="H13" i="29"/>
  <c r="BH63" i="6"/>
  <c r="AE63" i="6"/>
  <c r="AM63" i="6"/>
  <c r="BM63" i="6"/>
  <c r="AJ63" i="6"/>
  <c r="AX64" i="5"/>
  <c r="AX49" i="5"/>
  <c r="AV49" i="5"/>
  <c r="AV64" i="5"/>
  <c r="AL49" i="5"/>
  <c r="AL64" i="5"/>
  <c r="AU49" i="5"/>
  <c r="AU64" i="5"/>
  <c r="AT49" i="5"/>
  <c r="AT64" i="5"/>
  <c r="AE49" i="5"/>
  <c r="AE64" i="5"/>
  <c r="AW49" i="5"/>
  <c r="AW64" i="5"/>
  <c r="D19" i="18"/>
  <c r="D21" i="18"/>
  <c r="D23" i="18"/>
  <c r="D25" i="18"/>
  <c r="D20" i="18"/>
  <c r="D22" i="18"/>
  <c r="D24" i="18"/>
  <c r="D26" i="18"/>
  <c r="K64" i="3"/>
  <c r="I64" i="3"/>
  <c r="BQ38" i="17"/>
  <c r="BP38" i="17"/>
  <c r="BO38" i="17"/>
  <c r="BN38" i="17"/>
  <c r="BM38" i="17"/>
  <c r="BL38" i="17"/>
  <c r="BK38" i="17"/>
  <c r="BJ38" i="17"/>
  <c r="BI38" i="17"/>
  <c r="BH38" i="17"/>
  <c r="BG38" i="17"/>
  <c r="BF38" i="17"/>
  <c r="BE38" i="17"/>
  <c r="BD38" i="17"/>
  <c r="BC38" i="17"/>
  <c r="BB38" i="17"/>
  <c r="BA38" i="17"/>
  <c r="AZ38" i="17"/>
  <c r="AY38" i="17"/>
  <c r="AX38" i="17"/>
  <c r="AW38" i="17"/>
  <c r="AV38" i="17"/>
  <c r="AU38" i="17"/>
  <c r="AT38" i="17"/>
  <c r="AS38" i="17"/>
  <c r="AR38" i="17"/>
  <c r="AQ38" i="17"/>
  <c r="AP38" i="17"/>
  <c r="AO38" i="17"/>
  <c r="AN38" i="17"/>
  <c r="AM38" i="17"/>
  <c r="AL38" i="17"/>
  <c r="AK38" i="17"/>
  <c r="AH38" i="17"/>
  <c r="AG38" i="17"/>
  <c r="AF38" i="17"/>
  <c r="AE38" i="17"/>
  <c r="AD38" i="17"/>
  <c r="AC38" i="17"/>
  <c r="AB38" i="17"/>
  <c r="AA38" i="17"/>
  <c r="Z38" i="17"/>
  <c r="Y38" i="17"/>
  <c r="X38" i="17"/>
  <c r="W38" i="17"/>
  <c r="V38" i="17"/>
  <c r="U38" i="17"/>
  <c r="T38" i="17"/>
  <c r="S38" i="17"/>
  <c r="R38" i="17"/>
  <c r="Q38" i="17"/>
  <c r="P38" i="17"/>
  <c r="O38" i="17"/>
  <c r="N38" i="17"/>
  <c r="M38" i="17"/>
  <c r="L38" i="17"/>
  <c r="K38" i="17"/>
  <c r="J38" i="17"/>
  <c r="I38" i="17"/>
  <c r="H38" i="17"/>
  <c r="G38" i="17"/>
  <c r="K16" i="3" l="1"/>
  <c r="K15" i="3"/>
  <c r="I16" i="3"/>
  <c r="I15" i="3"/>
  <c r="AX16" i="5" a="1"/>
  <c r="AX16" i="5" s="1"/>
  <c r="AW16" i="5" a="1"/>
  <c r="AW16" i="5" s="1"/>
  <c r="AV16" i="5"/>
  <c r="AU16" i="5"/>
  <c r="AT16" i="5"/>
  <c r="AX15" i="5" a="1"/>
  <c r="AX15" i="5" s="1"/>
  <c r="AW15" i="5" a="1"/>
  <c r="AW15" i="5" s="1"/>
  <c r="AV15" i="5"/>
  <c r="AU15" i="5"/>
  <c r="AT15" i="5"/>
  <c r="AL16" i="5" a="1"/>
  <c r="AL16" i="5" s="1"/>
  <c r="AL15" i="5" a="1"/>
  <c r="AL15" i="5" s="1"/>
  <c r="AE16" i="5" a="1"/>
  <c r="AE16" i="5" s="1"/>
  <c r="AE15" i="5" a="1"/>
  <c r="AE15" i="5" s="1"/>
  <c r="AE44" i="5" l="1"/>
  <c r="AE55" i="5" s="1"/>
  <c r="AE45" i="5"/>
  <c r="AL45" i="5"/>
  <c r="AL44" i="5"/>
  <c r="AL55" i="5" s="1"/>
  <c r="AU41" i="5"/>
  <c r="AU54" i="5" s="1"/>
  <c r="AU42" i="5"/>
  <c r="AX44" i="5"/>
  <c r="AX55" i="5" s="1"/>
  <c r="AX45" i="5"/>
  <c r="AV41" i="5"/>
  <c r="AV54" i="5" s="1"/>
  <c r="AV42" i="5"/>
  <c r="AW44" i="5"/>
  <c r="AW55" i="5" s="1"/>
  <c r="AW45" i="5"/>
  <c r="AW41" i="5"/>
  <c r="AW54" i="5" s="1"/>
  <c r="AW42" i="5"/>
  <c r="AL41" i="5"/>
  <c r="AL54" i="5" s="1"/>
  <c r="AL42" i="5"/>
  <c r="AU45" i="5"/>
  <c r="AU44" i="5"/>
  <c r="AU55" i="5" s="1"/>
  <c r="AV44" i="5"/>
  <c r="AV55" i="5" s="1"/>
  <c r="AV45" i="5"/>
  <c r="AT42" i="5"/>
  <c r="AT41" i="5"/>
  <c r="AT54" i="5" s="1"/>
  <c r="AE41" i="5"/>
  <c r="AE54" i="5" s="1"/>
  <c r="AE42" i="5"/>
  <c r="AX41" i="5"/>
  <c r="AX54" i="5" s="1"/>
  <c r="AX42" i="5"/>
  <c r="AT44" i="5"/>
  <c r="AT55" i="5" s="1"/>
  <c r="AT45" i="5"/>
  <c r="I55" i="3"/>
  <c r="K54" i="3"/>
  <c r="I54" i="3"/>
  <c r="K55" i="3"/>
  <c r="I14" i="3"/>
  <c r="I13" i="3"/>
  <c r="K14" i="3"/>
  <c r="K13" i="3"/>
  <c r="AU43" i="5" l="1"/>
  <c r="AU62" i="5"/>
  <c r="AE43" i="5"/>
  <c r="AE62" i="5"/>
  <c r="AW43" i="5"/>
  <c r="AW62" i="5"/>
  <c r="AL43" i="5"/>
  <c r="AL62" i="5"/>
  <c r="AT43" i="5"/>
  <c r="AT62" i="5"/>
  <c r="AT46" i="5"/>
  <c r="AT63" i="5"/>
  <c r="AL46" i="5"/>
  <c r="AL63" i="5"/>
  <c r="AW63" i="5"/>
  <c r="AW46" i="5"/>
  <c r="AE46" i="5"/>
  <c r="AE63" i="5"/>
  <c r="AX46" i="5"/>
  <c r="AX63" i="5"/>
  <c r="AV46" i="5"/>
  <c r="AV63" i="5"/>
  <c r="AX43" i="5"/>
  <c r="AX62" i="5"/>
  <c r="AV62" i="5"/>
  <c r="AV43" i="5"/>
  <c r="AU46" i="5"/>
  <c r="AU63" i="5"/>
  <c r="K63" i="3"/>
  <c r="K62" i="3"/>
  <c r="I63" i="3"/>
  <c r="I62" i="3"/>
  <c r="AX14" i="5" a="1"/>
  <c r="AX14" i="5" s="1"/>
  <c r="AX13" i="5" a="1"/>
  <c r="AX13" i="5" s="1"/>
  <c r="AW14" i="5" a="1"/>
  <c r="AW14" i="5" s="1"/>
  <c r="AW13" i="5" a="1"/>
  <c r="AW13" i="5" s="1"/>
  <c r="AV14" i="5"/>
  <c r="AU14" i="5"/>
  <c r="AV13" i="5"/>
  <c r="AU13" i="5"/>
  <c r="AL14" i="5" a="1"/>
  <c r="AL14" i="5" s="1"/>
  <c r="AL13" i="5" a="1"/>
  <c r="AL13" i="5" s="1"/>
  <c r="AE14" i="5" a="1"/>
  <c r="AE14" i="5" s="1"/>
  <c r="AE13" i="5" a="1"/>
  <c r="AE13" i="5" s="1"/>
  <c r="CH31" i="5" l="1"/>
  <c r="CG31" i="5"/>
  <c r="CF31" i="5"/>
  <c r="CE31" i="5"/>
  <c r="CD31" i="5"/>
  <c r="CC31" i="5"/>
  <c r="CB31" i="5"/>
  <c r="CA31" i="5"/>
  <c r="BZ31" i="5"/>
  <c r="BY31" i="5"/>
  <c r="BX31" i="5"/>
  <c r="BW31" i="5"/>
  <c r="BV31" i="5"/>
  <c r="BU31" i="5"/>
  <c r="BT31" i="5"/>
  <c r="BS31" i="5"/>
  <c r="BR31" i="5"/>
  <c r="BQ31" i="5"/>
  <c r="BP31" i="5"/>
  <c r="BO31" i="5"/>
  <c r="BN31" i="5"/>
  <c r="BM31" i="5"/>
  <c r="BL31" i="5"/>
  <c r="BK31" i="5"/>
  <c r="BJ31" i="5"/>
  <c r="BI31" i="5"/>
  <c r="BH31" i="5"/>
  <c r="BG31" i="5"/>
  <c r="BF31" i="5"/>
  <c r="BE31" i="5"/>
  <c r="BD31" i="5"/>
  <c r="BC31" i="5"/>
  <c r="BB31" i="5"/>
  <c r="BA31" i="5"/>
  <c r="AZ31" i="5"/>
  <c r="AY31" i="5"/>
  <c r="AX31" i="5"/>
  <c r="AW31" i="5"/>
  <c r="AV31" i="5"/>
  <c r="AU31" i="5"/>
  <c r="AT31" i="5"/>
  <c r="AR31" i="5"/>
  <c r="AQ31" i="5"/>
  <c r="AP31" i="5"/>
  <c r="AO31" i="5"/>
  <c r="AN31" i="5"/>
  <c r="AM31" i="5"/>
  <c r="AL31" i="5"/>
  <c r="AJ31" i="5"/>
  <c r="AI31" i="5"/>
  <c r="AH31" i="5"/>
  <c r="AG31" i="5"/>
  <c r="AF31" i="5"/>
  <c r="AE31" i="5"/>
  <c r="AX12" i="5" a="1"/>
  <c r="AX12" i="5" s="1"/>
  <c r="AW12" i="5" a="1"/>
  <c r="AW12" i="5" s="1"/>
  <c r="AV12" i="5"/>
  <c r="AU12" i="5"/>
  <c r="AT12" i="5"/>
  <c r="AX11" i="5" a="1"/>
  <c r="AX11" i="5" s="1"/>
  <c r="AW11" i="5" a="1"/>
  <c r="AW11" i="5" s="1"/>
  <c r="AV11" i="5"/>
  <c r="AU11" i="5"/>
  <c r="AT11" i="5"/>
  <c r="AX10" i="5" a="1"/>
  <c r="AX10" i="5" s="1"/>
  <c r="AW10" i="5" a="1"/>
  <c r="AW10" i="5" s="1"/>
  <c r="AV10" i="5"/>
  <c r="AU10" i="5"/>
  <c r="AT10" i="5"/>
  <c r="AX9" i="5" a="1"/>
  <c r="AX9" i="5" s="1"/>
  <c r="AW9" i="5" a="1"/>
  <c r="AW9" i="5" s="1"/>
  <c r="AV9" i="5"/>
  <c r="AU9" i="5"/>
  <c r="AT9" i="5"/>
  <c r="AX8" i="5" a="1"/>
  <c r="AX8" i="5" s="1"/>
  <c r="AW8" i="5" a="1"/>
  <c r="AW8" i="5" s="1"/>
  <c r="AV8" i="5"/>
  <c r="AU8" i="5"/>
  <c r="AT8" i="5"/>
  <c r="AX7" i="5" a="1"/>
  <c r="AX7" i="5" s="1"/>
  <c r="AW7" i="5" a="1"/>
  <c r="AW7" i="5" s="1"/>
  <c r="AV7" i="5"/>
  <c r="AU7" i="5"/>
  <c r="AT7" i="5"/>
  <c r="AX6" i="5" a="1"/>
  <c r="AX6" i="5" s="1"/>
  <c r="AW6" i="5" a="1"/>
  <c r="AW6" i="5" s="1"/>
  <c r="AV6" i="5"/>
  <c r="AU6" i="5"/>
  <c r="AT6" i="5"/>
  <c r="AX5" i="5" a="1"/>
  <c r="AX5" i="5" s="1"/>
  <c r="AW5" i="5" a="1"/>
  <c r="AW5" i="5" s="1"/>
  <c r="AV5" i="5"/>
  <c r="AU5" i="5"/>
  <c r="AT5" i="5"/>
  <c r="AX4" i="5" a="1"/>
  <c r="AX4" i="5" s="1"/>
  <c r="AW4" i="5" a="1"/>
  <c r="AW4" i="5" s="1"/>
  <c r="AV4" i="5"/>
  <c r="AU4" i="5"/>
  <c r="AT4" i="5"/>
  <c r="AX3" i="5" a="1"/>
  <c r="AX3" i="5" s="1"/>
  <c r="AW3" i="5" a="1"/>
  <c r="AW3" i="5" s="1"/>
  <c r="AV3" i="5"/>
  <c r="AU3" i="5"/>
  <c r="AT3" i="5"/>
  <c r="AL12" i="5" a="1"/>
  <c r="AL12" i="5" s="1"/>
  <c r="AL11" i="5" a="1"/>
  <c r="AL11" i="5" s="1"/>
  <c r="AL10" i="5" a="1"/>
  <c r="AL10" i="5" s="1"/>
  <c r="AL9" i="5" a="1"/>
  <c r="AL9" i="5" s="1"/>
  <c r="AL8" i="5" a="1"/>
  <c r="AL8" i="5" s="1"/>
  <c r="AL7" i="5" a="1"/>
  <c r="AL7" i="5" s="1"/>
  <c r="AL6" i="5" a="1"/>
  <c r="AL6" i="5" s="1"/>
  <c r="AL5" i="5" a="1"/>
  <c r="AL5" i="5" s="1"/>
  <c r="AL4" i="5" a="1"/>
  <c r="AL4" i="5" s="1"/>
  <c r="AL3" i="5" a="1"/>
  <c r="AL3" i="5" s="1"/>
  <c r="AE12" i="5" a="1"/>
  <c r="AE12" i="5" s="1"/>
  <c r="AE11" i="5" a="1"/>
  <c r="AE11" i="5" s="1"/>
  <c r="AE8" i="5" a="1"/>
  <c r="AE8" i="5" s="1"/>
  <c r="AE7" i="5" a="1"/>
  <c r="AE7" i="5" s="1"/>
  <c r="AE6" i="5" a="1"/>
  <c r="AE6" i="5" s="1"/>
  <c r="AE5" i="5" a="1"/>
  <c r="AE5" i="5" s="1"/>
  <c r="AE4" i="5" a="1"/>
  <c r="AE4" i="5" s="1"/>
  <c r="AE3" i="5" a="1"/>
  <c r="AE3" i="5" s="1"/>
  <c r="AU33" i="5" l="1"/>
  <c r="AU32" i="5"/>
  <c r="AU51" i="5" s="1"/>
  <c r="AX36" i="5"/>
  <c r="AX35" i="5"/>
  <c r="AX52" i="5" s="1"/>
  <c r="AT38" i="5"/>
  <c r="AT39" i="5"/>
  <c r="AT61" i="5" s="1"/>
  <c r="AW36" i="5"/>
  <c r="AW35" i="5"/>
  <c r="AW52" i="5" s="1"/>
  <c r="AU38" i="5"/>
  <c r="AU53" i="5" s="1"/>
  <c r="AU39" i="5"/>
  <c r="AE38" i="5"/>
  <c r="AE53" i="5" s="1"/>
  <c r="AE39" i="5"/>
  <c r="AW32" i="5"/>
  <c r="AW51" i="5" s="1"/>
  <c r="AW33" i="5"/>
  <c r="AV38" i="5"/>
  <c r="AV53" i="5" s="1"/>
  <c r="AV39" i="5"/>
  <c r="AL38" i="5"/>
  <c r="AL53" i="5" s="1"/>
  <c r="AL39" i="5"/>
  <c r="AX32" i="5"/>
  <c r="AX51" i="5" s="1"/>
  <c r="AX33" i="5"/>
  <c r="AW38" i="5"/>
  <c r="AW53" i="5" s="1"/>
  <c r="AW39" i="5"/>
  <c r="AT36" i="5"/>
  <c r="AT35" i="5"/>
  <c r="AT52" i="5" s="1"/>
  <c r="AX38" i="5"/>
  <c r="AX53" i="5" s="1"/>
  <c r="AX39" i="5"/>
  <c r="AE32" i="5"/>
  <c r="AE51" i="5" s="1"/>
  <c r="AE33" i="5"/>
  <c r="AL33" i="5"/>
  <c r="AL32" i="5"/>
  <c r="AL51" i="5" s="1"/>
  <c r="AU35" i="5"/>
  <c r="AU52" i="5" s="1"/>
  <c r="AU36" i="5"/>
  <c r="AT32" i="5"/>
  <c r="AT51" i="5" s="1"/>
  <c r="AT33" i="5"/>
  <c r="AV33" i="5"/>
  <c r="AV32" i="5"/>
  <c r="AV51" i="5" s="1"/>
  <c r="AE36" i="5"/>
  <c r="AE35" i="5"/>
  <c r="AE52" i="5" s="1"/>
  <c r="AL35" i="5"/>
  <c r="AL52" i="5" s="1"/>
  <c r="AL36" i="5"/>
  <c r="AV36" i="5"/>
  <c r="AV35" i="5"/>
  <c r="AV52" i="5" s="1"/>
  <c r="AC50" i="5"/>
  <c r="AC31" i="5"/>
  <c r="AB50" i="5"/>
  <c r="AB31" i="5"/>
  <c r="AA50" i="5"/>
  <c r="AA31" i="5"/>
  <c r="Z50" i="5"/>
  <c r="Z31" i="5"/>
  <c r="Y50" i="5"/>
  <c r="Y31" i="5"/>
  <c r="X50" i="5"/>
  <c r="X31" i="5"/>
  <c r="W50" i="5"/>
  <c r="W31" i="5"/>
  <c r="F61" i="5"/>
  <c r="F60" i="5"/>
  <c r="F59" i="5"/>
  <c r="V50" i="5"/>
  <c r="U50" i="5"/>
  <c r="T50" i="5"/>
  <c r="G50" i="5"/>
  <c r="G39" i="5"/>
  <c r="G61" i="5" s="1"/>
  <c r="G53" i="5"/>
  <c r="G60" i="5"/>
  <c r="G52" i="5"/>
  <c r="V31" i="5"/>
  <c r="U31" i="5"/>
  <c r="T31" i="5"/>
  <c r="S31" i="5"/>
  <c r="R31" i="5"/>
  <c r="Q31" i="5"/>
  <c r="P31" i="5"/>
  <c r="O31" i="5"/>
  <c r="N31" i="5"/>
  <c r="M31" i="5"/>
  <c r="L31" i="5"/>
  <c r="K31" i="5"/>
  <c r="J31" i="5"/>
  <c r="I31" i="5"/>
  <c r="H31" i="5"/>
  <c r="G31" i="5"/>
  <c r="AT60" i="5" l="1"/>
  <c r="AT37" i="5"/>
  <c r="AW37" i="5"/>
  <c r="AW60" i="5"/>
  <c r="AL37" i="5"/>
  <c r="AL60" i="5"/>
  <c r="AE37" i="5"/>
  <c r="AE60" i="5"/>
  <c r="AL34" i="5"/>
  <c r="AL59" i="5"/>
  <c r="AT40" i="5"/>
  <c r="AT53" i="5"/>
  <c r="AU34" i="5"/>
  <c r="AU59" i="5"/>
  <c r="AV40" i="5"/>
  <c r="AV61" i="5"/>
  <c r="AW59" i="5"/>
  <c r="AW34" i="5"/>
  <c r="AE34" i="5"/>
  <c r="AE59" i="5"/>
  <c r="AX59" i="5"/>
  <c r="AX34" i="5"/>
  <c r="AE40" i="5"/>
  <c r="AE61" i="5"/>
  <c r="AV37" i="5"/>
  <c r="AV60" i="5"/>
  <c r="AU37" i="5"/>
  <c r="AU60" i="5"/>
  <c r="AW40" i="5"/>
  <c r="AW61" i="5"/>
  <c r="AV34" i="5"/>
  <c r="AV59" i="5"/>
  <c r="AX60" i="5"/>
  <c r="AX37" i="5"/>
  <c r="AT34" i="5"/>
  <c r="AT59" i="5"/>
  <c r="AX40" i="5"/>
  <c r="AX61" i="5"/>
  <c r="AL40" i="5"/>
  <c r="AL61" i="5"/>
  <c r="AU61" i="5"/>
  <c r="AU40" i="5"/>
  <c r="G34" i="5"/>
  <c r="G40" i="5"/>
  <c r="G51" i="5"/>
  <c r="G59" i="5"/>
  <c r="G37" i="5"/>
  <c r="D16" i="6"/>
  <c r="C16" i="6"/>
  <c r="B16" i="6"/>
  <c r="A16" i="6"/>
  <c r="A18" i="18" s="1"/>
  <c r="D15" i="6"/>
  <c r="C15" i="6"/>
  <c r="B15" i="6"/>
  <c r="A15" i="6"/>
  <c r="A17" i="18" s="1"/>
  <c r="D14" i="6"/>
  <c r="C14" i="6"/>
  <c r="B14" i="6"/>
  <c r="A14" i="6"/>
  <c r="A16" i="18" s="1"/>
  <c r="D13" i="6"/>
  <c r="C13" i="6"/>
  <c r="B13" i="6"/>
  <c r="A13" i="6"/>
  <c r="A15" i="18" s="1"/>
  <c r="D12" i="6"/>
  <c r="C12" i="6"/>
  <c r="B12" i="6"/>
  <c r="A12" i="6"/>
  <c r="A14" i="18" s="1"/>
  <c r="D11" i="6"/>
  <c r="C11" i="6"/>
  <c r="B11" i="6"/>
  <c r="A11" i="6"/>
  <c r="A13" i="18" s="1"/>
  <c r="I12" i="3"/>
  <c r="I11" i="3"/>
  <c r="K12" i="3"/>
  <c r="K11" i="3"/>
  <c r="D14" i="18" l="1"/>
  <c r="D16" i="18"/>
  <c r="D18" i="18"/>
  <c r="D13" i="18"/>
  <c r="D15" i="18"/>
  <c r="D17" i="18"/>
  <c r="D10" i="6"/>
  <c r="C10" i="6"/>
  <c r="B10" i="6"/>
  <c r="A10" i="6"/>
  <c r="A12" i="18" s="1"/>
  <c r="D9" i="6"/>
  <c r="C9" i="6"/>
  <c r="B9" i="6"/>
  <c r="A9" i="6"/>
  <c r="A11" i="18" s="1"/>
  <c r="D16" i="3"/>
  <c r="C16" i="3"/>
  <c r="B16" i="3"/>
  <c r="A16" i="3"/>
  <c r="D15" i="3"/>
  <c r="C15" i="3"/>
  <c r="B15" i="3"/>
  <c r="A15" i="3"/>
  <c r="D14" i="3"/>
  <c r="C14" i="3"/>
  <c r="B14" i="3"/>
  <c r="A14" i="3"/>
  <c r="D13" i="3"/>
  <c r="C13" i="3"/>
  <c r="B13" i="3"/>
  <c r="A13" i="3"/>
  <c r="D12" i="3"/>
  <c r="C12" i="3"/>
  <c r="B12" i="3"/>
  <c r="A12" i="3"/>
  <c r="D11" i="3"/>
  <c r="C11" i="3"/>
  <c r="B11" i="3"/>
  <c r="A11" i="3"/>
  <c r="D10" i="3"/>
  <c r="C10" i="3"/>
  <c r="B10" i="3"/>
  <c r="A10" i="3"/>
  <c r="D9" i="3"/>
  <c r="C9" i="3"/>
  <c r="B9" i="3"/>
  <c r="A9" i="3"/>
  <c r="I10" i="3"/>
  <c r="I9" i="3"/>
  <c r="K10" i="3"/>
  <c r="K9" i="3"/>
  <c r="D12" i="18" l="1"/>
  <c r="D11" i="18"/>
  <c r="D8" i="6"/>
  <c r="C8" i="6"/>
  <c r="B8" i="6"/>
  <c r="A8" i="6"/>
  <c r="A10" i="18" s="1"/>
  <c r="D7" i="6"/>
  <c r="C7" i="6"/>
  <c r="B7" i="6"/>
  <c r="A7" i="6"/>
  <c r="A9" i="18" s="1"/>
  <c r="K8" i="3"/>
  <c r="I8" i="3"/>
  <c r="K7" i="3"/>
  <c r="I7" i="3"/>
  <c r="D8" i="3"/>
  <c r="C8" i="3"/>
  <c r="B8" i="3"/>
  <c r="A8" i="3"/>
  <c r="D7" i="3"/>
  <c r="C7" i="3"/>
  <c r="B7" i="3"/>
  <c r="A7" i="3"/>
  <c r="D9" i="18" l="1"/>
  <c r="D10" i="18"/>
  <c r="I53" i="3"/>
  <c r="K53" i="3"/>
  <c r="D6" i="6"/>
  <c r="C6" i="6"/>
  <c r="B6" i="6"/>
  <c r="A6" i="6"/>
  <c r="A8" i="18" s="1"/>
  <c r="C5" i="6"/>
  <c r="D7" i="18" s="1"/>
  <c r="B5" i="6"/>
  <c r="A5" i="6"/>
  <c r="A7" i="18" s="1"/>
  <c r="K6" i="3"/>
  <c r="I6" i="3"/>
  <c r="K5" i="3"/>
  <c r="I5" i="3"/>
  <c r="D6" i="3"/>
  <c r="C6" i="3"/>
  <c r="B6" i="3"/>
  <c r="A6" i="3"/>
  <c r="D5" i="3"/>
  <c r="C5" i="3"/>
  <c r="B5" i="3"/>
  <c r="A5" i="3"/>
  <c r="O6" i="12"/>
  <c r="N6" i="12"/>
  <c r="P6" i="6" s="1"/>
  <c r="M6" i="12"/>
  <c r="O6" i="6" s="1"/>
  <c r="L6" i="12"/>
  <c r="K6" i="12"/>
  <c r="J6" i="12"/>
  <c r="I6" i="12"/>
  <c r="H6" i="12"/>
  <c r="G6" i="12"/>
  <c r="F6" i="12"/>
  <c r="E6" i="12"/>
  <c r="D6" i="12"/>
  <c r="C6" i="12"/>
  <c r="B6" i="12"/>
  <c r="A6" i="12"/>
  <c r="O5" i="12"/>
  <c r="N5" i="12"/>
  <c r="P5" i="6" s="1"/>
  <c r="M5" i="12"/>
  <c r="O5" i="6" s="1"/>
  <c r="L5" i="12"/>
  <c r="K5" i="12"/>
  <c r="J5" i="12"/>
  <c r="I5" i="12"/>
  <c r="H5" i="12"/>
  <c r="G5" i="12"/>
  <c r="F5" i="12"/>
  <c r="E5" i="12"/>
  <c r="D5" i="12"/>
  <c r="C5" i="12"/>
  <c r="B5" i="12"/>
  <c r="A5" i="12"/>
  <c r="O4" i="12"/>
  <c r="N4" i="12"/>
  <c r="M4" i="12"/>
  <c r="L4" i="12"/>
  <c r="K4" i="12"/>
  <c r="J4" i="12"/>
  <c r="I4" i="12"/>
  <c r="H4" i="12"/>
  <c r="G4" i="12"/>
  <c r="F4" i="12"/>
  <c r="E4" i="12"/>
  <c r="D4" i="12"/>
  <c r="C4" i="12"/>
  <c r="B4" i="12"/>
  <c r="A4" i="12"/>
  <c r="O3" i="12"/>
  <c r="N3" i="12"/>
  <c r="M3" i="12"/>
  <c r="L3" i="12"/>
  <c r="K3" i="12"/>
  <c r="J3" i="12"/>
  <c r="I3" i="12"/>
  <c r="H3" i="12"/>
  <c r="G3" i="12"/>
  <c r="F3" i="12"/>
  <c r="E3" i="12"/>
  <c r="D3" i="12"/>
  <c r="C3" i="12"/>
  <c r="B3" i="12"/>
  <c r="A3" i="12"/>
  <c r="O2" i="12"/>
  <c r="N2" i="12"/>
  <c r="L2" i="12"/>
  <c r="K2" i="12"/>
  <c r="J2" i="12"/>
  <c r="I2" i="12"/>
  <c r="H2" i="12"/>
  <c r="G2" i="12"/>
  <c r="F2" i="12"/>
  <c r="E2" i="12"/>
  <c r="D2" i="12"/>
  <c r="C2" i="12"/>
  <c r="B2" i="12"/>
  <c r="A2" i="12"/>
  <c r="O3" i="6" l="1"/>
  <c r="M34" i="12"/>
  <c r="M33" i="12"/>
  <c r="M52" i="12" s="1"/>
  <c r="P3" i="6"/>
  <c r="N34" i="12"/>
  <c r="N33" i="12"/>
  <c r="G36" i="12"/>
  <c r="G37" i="12"/>
  <c r="O37" i="12"/>
  <c r="O36" i="12"/>
  <c r="L34" i="12"/>
  <c r="L33" i="12"/>
  <c r="O34" i="12"/>
  <c r="O33" i="12"/>
  <c r="O52" i="12" s="1"/>
  <c r="P4" i="6"/>
  <c r="P36" i="6" s="1"/>
  <c r="N36" i="12"/>
  <c r="N53" i="12" s="1"/>
  <c r="N37" i="12"/>
  <c r="H37" i="12"/>
  <c r="H36" i="12"/>
  <c r="H34" i="12"/>
  <c r="H33" i="12"/>
  <c r="I37" i="12"/>
  <c r="I36" i="12"/>
  <c r="I53" i="12" s="1"/>
  <c r="G34" i="12"/>
  <c r="G33" i="12"/>
  <c r="I34" i="12"/>
  <c r="I33" i="12"/>
  <c r="J37" i="12"/>
  <c r="J36" i="12"/>
  <c r="O4" i="6"/>
  <c r="O35" i="6" s="1"/>
  <c r="O52" i="6" s="1"/>
  <c r="M36" i="12"/>
  <c r="M53" i="12" s="1"/>
  <c r="M37" i="12"/>
  <c r="M38" i="12" s="1"/>
  <c r="J34" i="12"/>
  <c r="J33" i="12"/>
  <c r="K37" i="12"/>
  <c r="K36" i="12"/>
  <c r="K53" i="12" s="1"/>
  <c r="K34" i="12"/>
  <c r="K33" i="12"/>
  <c r="K52" i="12" s="1"/>
  <c r="L37" i="12"/>
  <c r="L36" i="12"/>
  <c r="L53" i="12" s="1"/>
  <c r="O33" i="6"/>
  <c r="O32" i="6"/>
  <c r="P32" i="6"/>
  <c r="P33" i="6"/>
  <c r="G8" i="18"/>
  <c r="F8" i="18"/>
  <c r="L6" i="6"/>
  <c r="G6" i="18"/>
  <c r="F6" i="18"/>
  <c r="L4" i="6"/>
  <c r="I8" i="18"/>
  <c r="N6" i="6"/>
  <c r="F5" i="18"/>
  <c r="G5" i="18"/>
  <c r="L3" i="6"/>
  <c r="H6" i="18"/>
  <c r="M4" i="6"/>
  <c r="I7" i="18"/>
  <c r="N5" i="6"/>
  <c r="H8" i="18"/>
  <c r="M6" i="6"/>
  <c r="H7" i="18"/>
  <c r="M5" i="6"/>
  <c r="H5" i="18"/>
  <c r="M3" i="6"/>
  <c r="N4" i="6"/>
  <c r="I6" i="18"/>
  <c r="G7" i="18"/>
  <c r="F7" i="18"/>
  <c r="L5" i="6"/>
  <c r="N3" i="6"/>
  <c r="I5" i="18"/>
  <c r="Q6" i="12"/>
  <c r="D8" i="18"/>
  <c r="R4" i="12"/>
  <c r="P4" i="12"/>
  <c r="Q4" i="12"/>
  <c r="R3" i="12"/>
  <c r="P3" i="12"/>
  <c r="Q3" i="12"/>
  <c r="R6" i="12"/>
  <c r="R5" i="12"/>
  <c r="G52" i="12"/>
  <c r="N52" i="12"/>
  <c r="G53" i="12"/>
  <c r="O53" i="12"/>
  <c r="Q5" i="12"/>
  <c r="J53" i="12"/>
  <c r="H53" i="12"/>
  <c r="I52" i="12"/>
  <c r="P6" i="12"/>
  <c r="H52" i="12"/>
  <c r="J52" i="12"/>
  <c r="L52" i="12"/>
  <c r="P5" i="12"/>
  <c r="K61" i="3"/>
  <c r="I61" i="3"/>
  <c r="K4" i="3"/>
  <c r="I4" i="3"/>
  <c r="K3" i="3"/>
  <c r="I3" i="3"/>
  <c r="I38" i="12" l="1"/>
  <c r="O36" i="6"/>
  <c r="I35" i="12"/>
  <c r="M35" i="12"/>
  <c r="L38" i="12"/>
  <c r="P37" i="12"/>
  <c r="P36" i="12"/>
  <c r="P53" i="12" s="1"/>
  <c r="K35" i="12"/>
  <c r="O35" i="12"/>
  <c r="N35" i="12"/>
  <c r="J38" i="12"/>
  <c r="H35" i="12"/>
  <c r="P34" i="12"/>
  <c r="P33" i="12"/>
  <c r="P52" i="12" s="1"/>
  <c r="K38" i="12"/>
  <c r="L35" i="12"/>
  <c r="P35" i="6"/>
  <c r="P37" i="6" s="1"/>
  <c r="H38" i="12"/>
  <c r="J35" i="12"/>
  <c r="N38" i="12"/>
  <c r="O38" i="12"/>
  <c r="O37" i="6"/>
  <c r="O34" i="6"/>
  <c r="P52" i="6"/>
  <c r="P34" i="6"/>
  <c r="M35" i="6"/>
  <c r="M52" i="6" s="1"/>
  <c r="M36" i="6"/>
  <c r="N33" i="6"/>
  <c r="N32" i="6"/>
  <c r="L32" i="6"/>
  <c r="L51" i="6" s="1"/>
  <c r="L33" i="6"/>
  <c r="R36" i="12"/>
  <c r="R53" i="12" s="1"/>
  <c r="R37" i="12"/>
  <c r="R61" i="12" s="1"/>
  <c r="P51" i="6"/>
  <c r="Q33" i="12"/>
  <c r="Q52" i="12" s="1"/>
  <c r="Q34" i="12"/>
  <c r="N35" i="6"/>
  <c r="N52" i="6" s="1"/>
  <c r="N36" i="6"/>
  <c r="O51" i="6"/>
  <c r="R34" i="12"/>
  <c r="R33" i="12"/>
  <c r="R52" i="12" s="1"/>
  <c r="Q36" i="12"/>
  <c r="Q53" i="12" s="1"/>
  <c r="Q37" i="12"/>
  <c r="M32" i="6"/>
  <c r="M51" i="6" s="1"/>
  <c r="M33" i="6"/>
  <c r="L36" i="6"/>
  <c r="L35" i="6"/>
  <c r="L52" i="6" s="1"/>
  <c r="Q5" i="6"/>
  <c r="W5" i="6" s="1"/>
  <c r="Q3" i="6"/>
  <c r="S3" i="6" s="1"/>
  <c r="P60" i="6"/>
  <c r="O59" i="6"/>
  <c r="Q6" i="6"/>
  <c r="T6" i="6" s="1"/>
  <c r="P59" i="6"/>
  <c r="Q4" i="6"/>
  <c r="O60" i="6"/>
  <c r="K61" i="12"/>
  <c r="O61" i="12"/>
  <c r="N61" i="12"/>
  <c r="L60" i="12"/>
  <c r="I61" i="12"/>
  <c r="J61" i="12"/>
  <c r="N60" i="12"/>
  <c r="M60" i="12"/>
  <c r="J60" i="12"/>
  <c r="G38" i="12"/>
  <c r="G61" i="12"/>
  <c r="H60" i="12"/>
  <c r="K60" i="12"/>
  <c r="L61" i="12"/>
  <c r="I60" i="12"/>
  <c r="H61" i="12"/>
  <c r="M61" i="12"/>
  <c r="O60" i="12"/>
  <c r="G35" i="12"/>
  <c r="G60" i="12"/>
  <c r="D4" i="6"/>
  <c r="C4" i="6"/>
  <c r="B4" i="6"/>
  <c r="A4" i="6"/>
  <c r="A6" i="18" s="1"/>
  <c r="D3" i="6"/>
  <c r="C3" i="6"/>
  <c r="B3" i="6"/>
  <c r="A3" i="6"/>
  <c r="A5" i="18" s="1"/>
  <c r="D4" i="3"/>
  <c r="C4" i="3"/>
  <c r="B4" i="3"/>
  <c r="A4" i="3"/>
  <c r="D3" i="3"/>
  <c r="C3" i="3"/>
  <c r="B3" i="3"/>
  <c r="A3" i="3"/>
  <c r="D2" i="3"/>
  <c r="C2" i="3"/>
  <c r="B2" i="3"/>
  <c r="A2" i="3"/>
  <c r="Q38" i="12" l="1"/>
  <c r="P38" i="12"/>
  <c r="Q35" i="12"/>
  <c r="P35" i="12"/>
  <c r="M34" i="6"/>
  <c r="L37" i="6"/>
  <c r="N37" i="6"/>
  <c r="N34" i="6"/>
  <c r="Q61" i="12"/>
  <c r="R35" i="12"/>
  <c r="L34" i="6"/>
  <c r="T4" i="6"/>
  <c r="Q36" i="6"/>
  <c r="Q35" i="6"/>
  <c r="Q52" i="6" s="1"/>
  <c r="Q60" i="12"/>
  <c r="U3" i="6"/>
  <c r="Q33" i="6"/>
  <c r="Q32" i="6"/>
  <c r="Q51" i="6" s="1"/>
  <c r="M37" i="6"/>
  <c r="R60" i="12"/>
  <c r="N51" i="6"/>
  <c r="R38" i="12"/>
  <c r="AU5" i="6"/>
  <c r="AH7" i="18" s="1"/>
  <c r="BJ5" i="6"/>
  <c r="AW7" i="18" s="1"/>
  <c r="D5" i="18"/>
  <c r="AX5" i="6"/>
  <c r="AK7" i="18" s="1"/>
  <c r="AF5" i="6"/>
  <c r="S7" i="18" s="1"/>
  <c r="BE5" i="6"/>
  <c r="AR7" i="18" s="1"/>
  <c r="AG5" i="6"/>
  <c r="T7" i="18" s="1"/>
  <c r="Y5" i="6"/>
  <c r="L7" i="18" s="1"/>
  <c r="G8" i="22" s="1"/>
  <c r="BK5" i="6"/>
  <c r="AX7" i="18" s="1"/>
  <c r="AD5" i="6"/>
  <c r="Q7" i="18" s="1"/>
  <c r="AN5" i="6"/>
  <c r="AA7" i="18" s="1"/>
  <c r="AY5" i="6"/>
  <c r="AL7" i="18" s="1"/>
  <c r="AE5" i="6"/>
  <c r="R7" i="18" s="1"/>
  <c r="BD5" i="6"/>
  <c r="AQ7" i="18" s="1"/>
  <c r="AP5" i="6"/>
  <c r="AC7" i="18" s="1"/>
  <c r="BC5" i="6"/>
  <c r="AP7" i="18" s="1"/>
  <c r="BB5" i="6"/>
  <c r="AO7" i="18" s="1"/>
  <c r="BI5" i="6"/>
  <c r="AV7" i="18" s="1"/>
  <c r="BF5" i="6"/>
  <c r="AS7" i="18" s="1"/>
  <c r="AJ5" i="6"/>
  <c r="W7" i="18" s="1"/>
  <c r="AZ5" i="6"/>
  <c r="AM7" i="18" s="1"/>
  <c r="AL5" i="6"/>
  <c r="Y7" i="18" s="1"/>
  <c r="AQ5" i="6"/>
  <c r="AD7" i="18" s="1"/>
  <c r="AW5" i="6"/>
  <c r="AJ7" i="18" s="1"/>
  <c r="AR5" i="6"/>
  <c r="AE7" i="18" s="1"/>
  <c r="AS5" i="6"/>
  <c r="AF7" i="18" s="1"/>
  <c r="AV5" i="6"/>
  <c r="AI7" i="18" s="1"/>
  <c r="AM5" i="6"/>
  <c r="Z7" i="18" s="1"/>
  <c r="AT5" i="6"/>
  <c r="AG7" i="18" s="1"/>
  <c r="BL5" i="6"/>
  <c r="AY7" i="18" s="1"/>
  <c r="BA5" i="6"/>
  <c r="AN7" i="18" s="1"/>
  <c r="BM5" i="6"/>
  <c r="AZ7" i="18" s="1"/>
  <c r="AO5" i="6"/>
  <c r="AB7" i="18" s="1"/>
  <c r="AK5" i="6"/>
  <c r="X7" i="18" s="1"/>
  <c r="BH5" i="6"/>
  <c r="AU7" i="18" s="1"/>
  <c r="AC5" i="6"/>
  <c r="P7" i="18" s="1"/>
  <c r="D6" i="18"/>
  <c r="U5" i="6"/>
  <c r="V5" i="6"/>
  <c r="AI5" i="6"/>
  <c r="V7" i="18" s="1"/>
  <c r="BG5" i="6"/>
  <c r="AT7" i="18" s="1"/>
  <c r="AH5" i="6"/>
  <c r="U7" i="18" s="1"/>
  <c r="AB5" i="6"/>
  <c r="O7" i="18" s="1"/>
  <c r="X5" i="6"/>
  <c r="L60" i="6"/>
  <c r="X6" i="6"/>
  <c r="AX6" i="6"/>
  <c r="AK8" i="18" s="1"/>
  <c r="BC6" i="6"/>
  <c r="AP8" i="18" s="1"/>
  <c r="AZ6" i="6"/>
  <c r="AM8" i="18" s="1"/>
  <c r="AG6" i="6"/>
  <c r="T8" i="18" s="1"/>
  <c r="BK6" i="6"/>
  <c r="AX8" i="18" s="1"/>
  <c r="BJ6" i="6"/>
  <c r="AW8" i="18" s="1"/>
  <c r="AI6" i="6"/>
  <c r="V8" i="18" s="1"/>
  <c r="AR6" i="6"/>
  <c r="AE8" i="18" s="1"/>
  <c r="BE6" i="6"/>
  <c r="AR8" i="18" s="1"/>
  <c r="AM6" i="6"/>
  <c r="Z8" i="18" s="1"/>
  <c r="BL6" i="6"/>
  <c r="AY8" i="18" s="1"/>
  <c r="AF6" i="6"/>
  <c r="S8" i="18" s="1"/>
  <c r="BF6" i="6"/>
  <c r="AS8" i="18" s="1"/>
  <c r="BB6" i="6"/>
  <c r="AO8" i="18" s="1"/>
  <c r="BD6" i="6"/>
  <c r="AQ8" i="18" s="1"/>
  <c r="AW6" i="6"/>
  <c r="AJ8" i="18" s="1"/>
  <c r="AN6" i="6"/>
  <c r="AA8" i="18" s="1"/>
  <c r="AO6" i="6"/>
  <c r="AB8" i="18" s="1"/>
  <c r="AP6" i="6"/>
  <c r="AC8" i="18" s="1"/>
  <c r="AK6" i="6"/>
  <c r="X8" i="18" s="1"/>
  <c r="AQ6" i="6"/>
  <c r="AD8" i="18" s="1"/>
  <c r="AV6" i="6"/>
  <c r="AI8" i="18" s="1"/>
  <c r="AH6" i="6"/>
  <c r="U8" i="18" s="1"/>
  <c r="BG6" i="6"/>
  <c r="AT8" i="18" s="1"/>
  <c r="BH6" i="6"/>
  <c r="AU8" i="18" s="1"/>
  <c r="AY6" i="6"/>
  <c r="AL8" i="18" s="1"/>
  <c r="AJ6" i="6"/>
  <c r="W8" i="18" s="1"/>
  <c r="BM6" i="6"/>
  <c r="AZ8" i="18" s="1"/>
  <c r="AB6" i="6"/>
  <c r="O8" i="18" s="1"/>
  <c r="AC6" i="6"/>
  <c r="P8" i="18" s="1"/>
  <c r="AS6" i="6"/>
  <c r="AF8" i="18" s="1"/>
  <c r="BI6" i="6"/>
  <c r="AV8" i="18" s="1"/>
  <c r="AD6" i="6"/>
  <c r="Q8" i="18" s="1"/>
  <c r="AL6" i="6"/>
  <c r="Y8" i="18" s="1"/>
  <c r="BA6" i="6"/>
  <c r="AN8" i="18" s="1"/>
  <c r="AT6" i="6"/>
  <c r="AG8" i="18" s="1"/>
  <c r="AU6" i="6"/>
  <c r="AH8" i="18" s="1"/>
  <c r="AE6" i="6"/>
  <c r="R8" i="18" s="1"/>
  <c r="Y6" i="6"/>
  <c r="L8" i="18" s="1"/>
  <c r="H8" i="22" s="1"/>
  <c r="V6" i="6"/>
  <c r="W6" i="6"/>
  <c r="U6" i="6"/>
  <c r="M59" i="6"/>
  <c r="S4" i="6"/>
  <c r="X4" i="6"/>
  <c r="AB4" i="6"/>
  <c r="AZ4" i="6"/>
  <c r="AY4" i="6"/>
  <c r="AQ4" i="6"/>
  <c r="BD4" i="6"/>
  <c r="AF4" i="6"/>
  <c r="BL4" i="6"/>
  <c r="BH4" i="6"/>
  <c r="AX4" i="6"/>
  <c r="AG4" i="6"/>
  <c r="BM4" i="6"/>
  <c r="AN4" i="6"/>
  <c r="AV4" i="6"/>
  <c r="AH4" i="6"/>
  <c r="AR4" i="6"/>
  <c r="AJ4" i="6"/>
  <c r="BG4" i="6"/>
  <c r="BE4" i="6"/>
  <c r="AW4" i="6"/>
  <c r="BF4" i="6"/>
  <c r="AP4" i="6"/>
  <c r="AO4" i="6"/>
  <c r="AI4" i="6"/>
  <c r="AD4" i="6"/>
  <c r="AE4" i="6"/>
  <c r="AM4" i="6"/>
  <c r="AC4" i="6"/>
  <c r="BB4" i="6"/>
  <c r="AK4" i="6"/>
  <c r="AS4" i="6"/>
  <c r="BJ4" i="6"/>
  <c r="BK4" i="6"/>
  <c r="AU4" i="6"/>
  <c r="AT4" i="6"/>
  <c r="BC4" i="6"/>
  <c r="BA4" i="6"/>
  <c r="BI4" i="6"/>
  <c r="AL4" i="6"/>
  <c r="Y4" i="6"/>
  <c r="V4" i="6"/>
  <c r="W4" i="6"/>
  <c r="N59" i="6"/>
  <c r="U4" i="6"/>
  <c r="M60" i="6"/>
  <c r="T3" i="6"/>
  <c r="X3" i="6"/>
  <c r="AE3" i="6"/>
  <c r="BC3" i="6"/>
  <c r="BD3" i="6"/>
  <c r="BH3" i="6"/>
  <c r="AM3" i="6"/>
  <c r="AP3" i="6"/>
  <c r="AR3" i="6"/>
  <c r="AI3" i="6"/>
  <c r="BE3" i="6"/>
  <c r="AJ3" i="6"/>
  <c r="AN3" i="6"/>
  <c r="AV3" i="6"/>
  <c r="AO3" i="6"/>
  <c r="AH3" i="6"/>
  <c r="AX3" i="6"/>
  <c r="AQ3" i="6"/>
  <c r="BF3" i="6"/>
  <c r="BM3" i="6"/>
  <c r="AZ3" i="6"/>
  <c r="AB3" i="6"/>
  <c r="AW3" i="6"/>
  <c r="BK3" i="6"/>
  <c r="AU3" i="6"/>
  <c r="AG3" i="6"/>
  <c r="BL3" i="6"/>
  <c r="AF3" i="6"/>
  <c r="AS3" i="6"/>
  <c r="BA3" i="6"/>
  <c r="AK3" i="6"/>
  <c r="BG3" i="6"/>
  <c r="AT3" i="6"/>
  <c r="AY3" i="6"/>
  <c r="AC3" i="6"/>
  <c r="AL3" i="6"/>
  <c r="BI3" i="6"/>
  <c r="BB3" i="6"/>
  <c r="BJ3" i="6"/>
  <c r="AD3" i="6"/>
  <c r="Y3" i="6"/>
  <c r="V3" i="6"/>
  <c r="W3" i="6"/>
  <c r="S6" i="6"/>
  <c r="L59" i="6"/>
  <c r="N60" i="6"/>
  <c r="S5" i="6"/>
  <c r="T5" i="6"/>
  <c r="P61" i="12"/>
  <c r="P60" i="12"/>
  <c r="H14" i="22" l="1"/>
  <c r="H33" i="22" s="1"/>
  <c r="G14" i="22"/>
  <c r="G33" i="22" s="1"/>
  <c r="Q34" i="6"/>
  <c r="Q37" i="6"/>
  <c r="AU5" i="18"/>
  <c r="AM6" i="18"/>
  <c r="AV5" i="18"/>
  <c r="AF5" i="18"/>
  <c r="AM5" i="18"/>
  <c r="AA5" i="18"/>
  <c r="AQ5" i="18"/>
  <c r="AH6" i="18"/>
  <c r="R6" i="18"/>
  <c r="AT6" i="18"/>
  <c r="AK6" i="18"/>
  <c r="O6" i="18"/>
  <c r="O5" i="18"/>
  <c r="T6" i="18"/>
  <c r="W5" i="18"/>
  <c r="Q6" i="18"/>
  <c r="W6" i="18"/>
  <c r="AU6" i="18"/>
  <c r="AI5" i="18"/>
  <c r="AR6" i="18"/>
  <c r="AX6" i="18"/>
  <c r="P5" i="18"/>
  <c r="AY5" i="18"/>
  <c r="AS5" i="18"/>
  <c r="AR5" i="18"/>
  <c r="R5" i="18"/>
  <c r="L6" i="18"/>
  <c r="F8" i="22" s="1"/>
  <c r="AE6" i="18"/>
  <c r="AY6" i="18"/>
  <c r="Y5" i="18"/>
  <c r="AL5" i="18"/>
  <c r="T5" i="18"/>
  <c r="AD5" i="18"/>
  <c r="V5" i="18"/>
  <c r="AF6" i="18"/>
  <c r="AB6" i="18"/>
  <c r="U6" i="18"/>
  <c r="S6" i="18"/>
  <c r="S5" i="18"/>
  <c r="L5" i="18"/>
  <c r="E8" i="22" s="1"/>
  <c r="AK5" i="18"/>
  <c r="AE5" i="18"/>
  <c r="AV6" i="18"/>
  <c r="X6" i="18"/>
  <c r="AC6" i="18"/>
  <c r="AI6" i="18"/>
  <c r="AQ6" i="18"/>
  <c r="AN5" i="18"/>
  <c r="AZ5" i="18"/>
  <c r="Q5" i="18"/>
  <c r="U5" i="18"/>
  <c r="AN6" i="18"/>
  <c r="AS6" i="18"/>
  <c r="AA6" i="18"/>
  <c r="AD6" i="18"/>
  <c r="AO5" i="18"/>
  <c r="AP5" i="18"/>
  <c r="AG5" i="18"/>
  <c r="AH5" i="18"/>
  <c r="AT5" i="18"/>
  <c r="AX5" i="18"/>
  <c r="AC5" i="18"/>
  <c r="AO6" i="18"/>
  <c r="AW5" i="18"/>
  <c r="X5" i="18"/>
  <c r="AJ5" i="18"/>
  <c r="AB5" i="18"/>
  <c r="Z5" i="18"/>
  <c r="AP6" i="18"/>
  <c r="P6" i="18"/>
  <c r="AJ6" i="18"/>
  <c r="AZ6" i="18"/>
  <c r="AL6" i="18"/>
  <c r="Q59" i="6"/>
  <c r="Y6" i="18"/>
  <c r="AG6" i="18"/>
  <c r="Z6" i="18"/>
  <c r="Q60" i="6"/>
  <c r="AW6" i="18"/>
  <c r="V6" i="18"/>
  <c r="E14" i="22" l="1"/>
  <c r="F14" i="22"/>
  <c r="I51" i="3"/>
  <c r="K51" i="3"/>
  <c r="I52" i="3"/>
  <c r="K52" i="3"/>
  <c r="E33" i="22" l="1"/>
  <c r="F33" i="22"/>
  <c r="K60" i="3"/>
  <c r="K59" i="3"/>
  <c r="I60" i="3"/>
  <c r="I59" i="3"/>
  <c r="AJ41" i="17" l="1"/>
  <c r="AG41" i="17"/>
  <c r="AL41" i="17"/>
  <c r="AP41" i="17"/>
  <c r="AT41" i="17"/>
  <c r="AX41" i="17"/>
  <c r="BF41" i="17"/>
  <c r="T41" i="17"/>
  <c r="X41" i="17"/>
  <c r="K41" i="17"/>
  <c r="O41" i="17"/>
  <c r="BJ41" i="17"/>
  <c r="BB41" i="17"/>
  <c r="BN41" i="17"/>
  <c r="AM41" i="17"/>
  <c r="AQ41" i="17"/>
  <c r="AU41" i="17"/>
  <c r="AY41" i="17"/>
  <c r="BC41" i="17"/>
  <c r="BG41" i="17"/>
  <c r="BK41" i="17"/>
  <c r="BO41" i="17"/>
  <c r="AN41" i="17"/>
  <c r="AR41" i="17"/>
  <c r="AV41" i="17"/>
  <c r="AZ41" i="17"/>
  <c r="BD41" i="17"/>
  <c r="BH41" i="17"/>
  <c r="BL41" i="17"/>
  <c r="BP41" i="17"/>
  <c r="AK41" i="17"/>
  <c r="AO41" i="17"/>
  <c r="AS41" i="17"/>
  <c r="AW41" i="17"/>
  <c r="BA41" i="17"/>
  <c r="BE41" i="17"/>
  <c r="BI41" i="17"/>
  <c r="BM41" i="17"/>
  <c r="BQ41" i="17"/>
  <c r="AD41" i="17"/>
  <c r="AH41" i="17"/>
  <c r="AE41" i="17"/>
  <c r="AI41" i="17"/>
  <c r="AF41" i="17"/>
  <c r="Y41" i="17"/>
  <c r="AC41" i="17"/>
  <c r="AB41" i="17"/>
  <c r="Z41" i="17"/>
  <c r="AA41" i="17"/>
  <c r="U41" i="17"/>
  <c r="R41" i="17"/>
  <c r="V41" i="17"/>
  <c r="S41" i="17"/>
  <c r="W41" i="17"/>
  <c r="I41" i="17"/>
  <c r="L41" i="17"/>
  <c r="M41" i="17"/>
  <c r="Q41" i="17"/>
  <c r="H41" i="17"/>
  <c r="J41" i="17"/>
  <c r="N41" i="17"/>
  <c r="P41" i="17"/>
  <c r="B35" i="14" l="1"/>
  <c r="BB25" i="14" l="1"/>
  <c r="HI25" i="14" s="1"/>
  <c r="BC25" i="14"/>
  <c r="BD2" i="14"/>
  <c r="BB2" i="14"/>
  <c r="BE21" i="14"/>
  <c r="BD25" i="14"/>
  <c r="BD17" i="14"/>
  <c r="BE20" i="14"/>
  <c r="BE18" i="14"/>
  <c r="BD22" i="14"/>
  <c r="BD23" i="14"/>
  <c r="BE24" i="14"/>
  <c r="BD19" i="14"/>
  <c r="BE25" i="14"/>
  <c r="BE23" i="14"/>
  <c r="BE22" i="14"/>
  <c r="BD21" i="14"/>
  <c r="BD24" i="14"/>
  <c r="BD18" i="14"/>
  <c r="BE19" i="14"/>
  <c r="BD20" i="14"/>
  <c r="BB12" i="14"/>
  <c r="HI12" i="14" s="1"/>
  <c r="BC19" i="14"/>
  <c r="HK19" i="14" s="1"/>
  <c r="BC14" i="14"/>
  <c r="HK14" i="14" s="1"/>
  <c r="BD13" i="14"/>
  <c r="BB6" i="14"/>
  <c r="HI6" i="14" s="1"/>
  <c r="BD6" i="14"/>
  <c r="BB7" i="14"/>
  <c r="HI7" i="14" s="1"/>
  <c r="BC24" i="14"/>
  <c r="HK24" i="14" s="1"/>
  <c r="BC17" i="14"/>
  <c r="HK17" i="14" s="1"/>
  <c r="BC12" i="14"/>
  <c r="HK12" i="14" s="1"/>
  <c r="BB16" i="14"/>
  <c r="HI16" i="14" s="1"/>
  <c r="BB22" i="14"/>
  <c r="HI22" i="14" s="1"/>
  <c r="BC15" i="14"/>
  <c r="HK15" i="14" s="1"/>
  <c r="BB3" i="14"/>
  <c r="BC20" i="14"/>
  <c r="HK20" i="14" s="1"/>
  <c r="BB5" i="14"/>
  <c r="HI5" i="14" s="1"/>
  <c r="BB14" i="14"/>
  <c r="BD10" i="14"/>
  <c r="BC18" i="14"/>
  <c r="HK18" i="14" s="1"/>
  <c r="BD11" i="14"/>
  <c r="BD12" i="14"/>
  <c r="BE2" i="14"/>
  <c r="BB13" i="14"/>
  <c r="BE5" i="14"/>
  <c r="BB20" i="14"/>
  <c r="BD14" i="14"/>
  <c r="BB15" i="14"/>
  <c r="HI15" i="14" s="1"/>
  <c r="BE6" i="14"/>
  <c r="BD3" i="14"/>
  <c r="BE3" i="14"/>
  <c r="BB24" i="14"/>
  <c r="BD15" i="14"/>
  <c r="BB10" i="14"/>
  <c r="HI10" i="14" s="1"/>
  <c r="BD4" i="14"/>
  <c r="BB11" i="14"/>
  <c r="BE4" i="14"/>
  <c r="BB19" i="14"/>
  <c r="BE9" i="14"/>
  <c r="BE10" i="14"/>
  <c r="BB8" i="14"/>
  <c r="HI8" i="14" s="1"/>
  <c r="BD7" i="14"/>
  <c r="BE7" i="14"/>
  <c r="BE11" i="14"/>
  <c r="BE12" i="14"/>
  <c r="BC8" i="14"/>
  <c r="HK8" i="14" s="1"/>
  <c r="BE15" i="14"/>
  <c r="BD8" i="14"/>
  <c r="BB17" i="14"/>
  <c r="BE8" i="14"/>
  <c r="BC2" i="14"/>
  <c r="BE13" i="14"/>
  <c r="BC9" i="14"/>
  <c r="HK9" i="14" s="1"/>
  <c r="BC7" i="14"/>
  <c r="HK7" i="14" s="1"/>
  <c r="BB21" i="14"/>
  <c r="BE14" i="14"/>
  <c r="BB9" i="14"/>
  <c r="BC5" i="14"/>
  <c r="BD16" i="14"/>
  <c r="BE16" i="14"/>
  <c r="BC16" i="14"/>
  <c r="HK16" i="14" s="1"/>
  <c r="BB4" i="14"/>
  <c r="BC23" i="14"/>
  <c r="HK23" i="14" s="1"/>
  <c r="BC10" i="14"/>
  <c r="HK10" i="14" s="1"/>
  <c r="BD9" i="14"/>
  <c r="BC3" i="14"/>
  <c r="BE17" i="14"/>
  <c r="BB23" i="14"/>
  <c r="HI23" i="14" s="1"/>
  <c r="BC13" i="14"/>
  <c r="HK13" i="14" s="1"/>
  <c r="BD5" i="14"/>
  <c r="BC6" i="14"/>
  <c r="HK6" i="14" s="1"/>
  <c r="BB18" i="14"/>
  <c r="HI18" i="14" s="1"/>
  <c r="BC22" i="14"/>
  <c r="HK22" i="14" s="1"/>
  <c r="BC11" i="14"/>
  <c r="HK11" i="14" s="1"/>
  <c r="BC21" i="14"/>
  <c r="HK21" i="14" s="1"/>
  <c r="BC4" i="14"/>
  <c r="HK4" i="14" l="1"/>
  <c r="CW4" i="14"/>
  <c r="EM4" i="14" s="1"/>
  <c r="EP4" i="14"/>
  <c r="HI4" i="14"/>
  <c r="CV4" i="14"/>
  <c r="EQ4" i="14"/>
  <c r="HI3" i="14"/>
  <c r="EQ3" i="14"/>
  <c r="CV3" i="14"/>
  <c r="HK3" i="14"/>
  <c r="EP3" i="14"/>
  <c r="CW3" i="14"/>
  <c r="EM3" i="14" s="1"/>
  <c r="AA3" i="6" s="1"/>
  <c r="CV25" i="14"/>
  <c r="CV2" i="14"/>
  <c r="CV27" i="14" s="1"/>
  <c r="HK25" i="14"/>
  <c r="CW25" i="14"/>
  <c r="HJ25" i="14" s="1"/>
  <c r="CW5" i="14"/>
  <c r="EM5" i="14" s="1"/>
  <c r="AA5" i="6" s="1"/>
  <c r="N7" i="18" s="1"/>
  <c r="HK5" i="14"/>
  <c r="HI24" i="14"/>
  <c r="CV24" i="14"/>
  <c r="CV9" i="14"/>
  <c r="HI9" i="14"/>
  <c r="CV17" i="14"/>
  <c r="HI17" i="14"/>
  <c r="CV19" i="14"/>
  <c r="HI19" i="14"/>
  <c r="CV21" i="14"/>
  <c r="HI21" i="14"/>
  <c r="CV14" i="14"/>
  <c r="HI14" i="14"/>
  <c r="CV13" i="14"/>
  <c r="HI13" i="14"/>
  <c r="CV20" i="14"/>
  <c r="HI20" i="14"/>
  <c r="CV11" i="14"/>
  <c r="HI11" i="14"/>
  <c r="CV15" i="14"/>
  <c r="CV22" i="14"/>
  <c r="CW21" i="14"/>
  <c r="EM21" i="14" s="1"/>
  <c r="AA21" i="6" s="1"/>
  <c r="N23" i="18" s="1"/>
  <c r="CW13" i="14"/>
  <c r="EM13" i="14" s="1"/>
  <c r="CW6" i="14"/>
  <c r="EM6" i="14" s="1"/>
  <c r="AA6" i="6" s="1"/>
  <c r="N8" i="18" s="1"/>
  <c r="CW15" i="14"/>
  <c r="EM15" i="14" s="1"/>
  <c r="AA15" i="6" s="1"/>
  <c r="CW18" i="14"/>
  <c r="EM18" i="14" s="1"/>
  <c r="AA18" i="6" s="1"/>
  <c r="CW12" i="14"/>
  <c r="EM12" i="14" s="1"/>
  <c r="CW23" i="14"/>
  <c r="EM23" i="14" s="1"/>
  <c r="AA23" i="6" s="1"/>
  <c r="N25" i="18" s="1"/>
  <c r="CW22" i="14"/>
  <c r="EM22" i="14" s="1"/>
  <c r="AA22" i="6" s="1"/>
  <c r="N24" i="18" s="1"/>
  <c r="CV8" i="14"/>
  <c r="CV10" i="14"/>
  <c r="CW20" i="14"/>
  <c r="EM20" i="14" s="1"/>
  <c r="AA20" i="6" s="1"/>
  <c r="N22" i="18" s="1"/>
  <c r="CV6" i="14"/>
  <c r="CW11" i="14"/>
  <c r="EM11" i="14" s="1"/>
  <c r="CV23" i="14"/>
  <c r="CW16" i="14"/>
  <c r="EM16" i="14" s="1"/>
  <c r="AA16" i="6" s="1"/>
  <c r="CV16" i="14"/>
  <c r="CW14" i="14"/>
  <c r="EM14" i="14" s="1"/>
  <c r="CW9" i="14"/>
  <c r="EM9" i="14" s="1"/>
  <c r="CV5" i="14"/>
  <c r="CW17" i="14"/>
  <c r="EM17" i="14" s="1"/>
  <c r="AA17" i="6" s="1"/>
  <c r="N19" i="18" s="1"/>
  <c r="CW19" i="14"/>
  <c r="EM19" i="14" s="1"/>
  <c r="AA19" i="6" s="1"/>
  <c r="N21" i="18" s="1"/>
  <c r="CW7" i="14"/>
  <c r="EM7" i="14" s="1"/>
  <c r="AA7" i="6" s="1"/>
  <c r="N9" i="18" s="1"/>
  <c r="CW8" i="14"/>
  <c r="EM8" i="14" s="1"/>
  <c r="CW24" i="14"/>
  <c r="EM24" i="14" s="1"/>
  <c r="AA24" i="6" s="1"/>
  <c r="N26" i="18" s="1"/>
  <c r="CV12" i="14"/>
  <c r="CV18" i="14"/>
  <c r="CW10" i="14"/>
  <c r="EM10" i="14" s="1"/>
  <c r="CV7" i="14"/>
  <c r="EQ13" i="14"/>
  <c r="EP18" i="14"/>
  <c r="EP15" i="14"/>
  <c r="EP23" i="14"/>
  <c r="EP25" i="14"/>
  <c r="EQ22" i="14"/>
  <c r="EQ6" i="14"/>
  <c r="EQ19" i="14"/>
  <c r="EP16" i="14"/>
  <c r="AA4" i="6"/>
  <c r="EQ17" i="14"/>
  <c r="EP13" i="14"/>
  <c r="EQ11" i="14"/>
  <c r="EQ16" i="14"/>
  <c r="EQ15" i="14"/>
  <c r="EQ14" i="14"/>
  <c r="EP12" i="14"/>
  <c r="EP14" i="14"/>
  <c r="EP6" i="14"/>
  <c r="EQ9" i="14"/>
  <c r="EP11" i="14"/>
  <c r="EQ21" i="14"/>
  <c r="EP7" i="14"/>
  <c r="EQ25" i="14"/>
  <c r="EQ10" i="14"/>
  <c r="EQ5" i="14"/>
  <c r="EP17" i="14"/>
  <c r="EP19" i="14"/>
  <c r="EP21" i="14"/>
  <c r="EQ2" i="14"/>
  <c r="EP8" i="14"/>
  <c r="EQ20" i="14"/>
  <c r="EP20" i="14"/>
  <c r="EP24" i="14"/>
  <c r="EQ12" i="14"/>
  <c r="EQ23" i="14"/>
  <c r="EQ8" i="14"/>
  <c r="EP9" i="14"/>
  <c r="EP22" i="14"/>
  <c r="EQ18" i="14"/>
  <c r="EP10" i="14"/>
  <c r="EP5" i="14"/>
  <c r="EP2" i="14"/>
  <c r="CW2" i="14"/>
  <c r="EQ24" i="14"/>
  <c r="EQ7" i="14"/>
  <c r="AA44" i="6" l="1"/>
  <c r="AA55" i="6" s="1"/>
  <c r="AA45" i="6"/>
  <c r="AA47" i="6"/>
  <c r="AA48" i="6"/>
  <c r="AA64" i="6" s="1"/>
  <c r="AA42" i="6"/>
  <c r="AA41" i="6"/>
  <c r="EL7" i="14"/>
  <c r="K9" i="18" s="1"/>
  <c r="I7" i="22" s="1"/>
  <c r="EL23" i="14"/>
  <c r="Z23" i="6" s="1"/>
  <c r="M25" i="18" s="1"/>
  <c r="EL22" i="14"/>
  <c r="Z22" i="6" s="1"/>
  <c r="M24" i="18" s="1"/>
  <c r="EL18" i="14"/>
  <c r="K20" i="18" s="1"/>
  <c r="T7" i="22" s="1"/>
  <c r="EL10" i="14"/>
  <c r="K12" i="18" s="1"/>
  <c r="L7" i="22" s="1"/>
  <c r="EL8" i="14"/>
  <c r="EN8" i="14" s="1"/>
  <c r="EL24" i="14"/>
  <c r="Z24" i="6" s="1"/>
  <c r="M26" i="18" s="1"/>
  <c r="EL12" i="14"/>
  <c r="K14" i="18" s="1"/>
  <c r="N7" i="22" s="1"/>
  <c r="EL6" i="14"/>
  <c r="K8" i="18" s="1"/>
  <c r="H7" i="22" s="1"/>
  <c r="CW27" i="14"/>
  <c r="EL4" i="14"/>
  <c r="CX4" i="14"/>
  <c r="HM4" i="14" s="1"/>
  <c r="N18" i="18"/>
  <c r="N17" i="18"/>
  <c r="CX3" i="14"/>
  <c r="HM3" i="14" s="1"/>
  <c r="EL3" i="14"/>
  <c r="N20" i="18"/>
  <c r="EL11" i="14"/>
  <c r="K13" i="18" s="1"/>
  <c r="M7" i="22" s="1"/>
  <c r="EL21" i="14"/>
  <c r="K23" i="18" s="1"/>
  <c r="W7" i="22" s="1"/>
  <c r="N5" i="18"/>
  <c r="N6" i="18"/>
  <c r="EN10" i="14"/>
  <c r="EL20" i="14"/>
  <c r="EL19" i="14"/>
  <c r="K21" i="18" s="1"/>
  <c r="U7" i="22" s="1"/>
  <c r="EL15" i="14"/>
  <c r="HH13" i="14"/>
  <c r="EL13" i="14"/>
  <c r="K15" i="18" s="1"/>
  <c r="O7" i="22" s="1"/>
  <c r="HH17" i="14"/>
  <c r="EL17" i="14"/>
  <c r="K19" i="18" s="1"/>
  <c r="S7" i="22" s="1"/>
  <c r="HH16" i="14"/>
  <c r="EL16" i="14"/>
  <c r="K18" i="18" s="1"/>
  <c r="R7" i="22" s="1"/>
  <c r="HH5" i="14"/>
  <c r="EL5" i="14"/>
  <c r="HH14" i="14"/>
  <c r="EL14" i="14"/>
  <c r="K16" i="18" s="1"/>
  <c r="P7" i="22" s="1"/>
  <c r="EL9" i="14"/>
  <c r="K11" i="18" s="1"/>
  <c r="K7" i="22" s="1"/>
  <c r="HH25" i="14"/>
  <c r="HJ19" i="14"/>
  <c r="HJ17" i="14"/>
  <c r="HJ23" i="14"/>
  <c r="HH11" i="14"/>
  <c r="HJ7" i="14"/>
  <c r="HJ22" i="14"/>
  <c r="HJ10" i="14"/>
  <c r="HJ11" i="14"/>
  <c r="HJ12" i="14"/>
  <c r="HJ9" i="14"/>
  <c r="HH9" i="14"/>
  <c r="HJ5" i="14"/>
  <c r="HJ13" i="14"/>
  <c r="HJ14" i="14"/>
  <c r="HJ18" i="14"/>
  <c r="HJ16" i="14"/>
  <c r="HJ24" i="14"/>
  <c r="HJ20" i="14"/>
  <c r="HJ15" i="14"/>
  <c r="HH19" i="14"/>
  <c r="HJ21" i="14"/>
  <c r="HJ8" i="14"/>
  <c r="HJ6" i="14"/>
  <c r="HH15" i="14"/>
  <c r="HH20" i="14"/>
  <c r="HH21" i="14"/>
  <c r="CX17" i="14"/>
  <c r="HM17" i="14" s="1"/>
  <c r="CX21" i="14"/>
  <c r="HM21" i="14" s="1"/>
  <c r="HH18" i="14"/>
  <c r="HH23" i="14"/>
  <c r="HH12" i="14"/>
  <c r="HH6" i="14"/>
  <c r="HH22" i="14"/>
  <c r="HH7" i="14"/>
  <c r="HH10" i="14"/>
  <c r="HH24" i="14"/>
  <c r="HH8" i="14"/>
  <c r="CX5" i="14"/>
  <c r="HM5" i="14" s="1"/>
  <c r="CX15" i="14"/>
  <c r="HM15" i="14" s="1"/>
  <c r="CX13" i="14"/>
  <c r="HM13" i="14" s="1"/>
  <c r="CX19" i="14"/>
  <c r="HM19" i="14" s="1"/>
  <c r="CX10" i="14"/>
  <c r="HM10" i="14" s="1"/>
  <c r="CX18" i="14"/>
  <c r="HM18" i="14" s="1"/>
  <c r="CX12" i="14"/>
  <c r="HM12" i="14" s="1"/>
  <c r="CX9" i="14"/>
  <c r="HM9" i="14" s="1"/>
  <c r="CX23" i="14"/>
  <c r="HM23" i="14" s="1"/>
  <c r="CX22" i="14"/>
  <c r="HM22" i="14" s="1"/>
  <c r="CX20" i="14"/>
  <c r="HM20" i="14" s="1"/>
  <c r="CX14" i="14"/>
  <c r="HM14" i="14" s="1"/>
  <c r="CX11" i="14"/>
  <c r="HM11" i="14" s="1"/>
  <c r="CX8" i="14"/>
  <c r="HM8" i="14" s="1"/>
  <c r="CX7" i="14"/>
  <c r="HM7" i="14" s="1"/>
  <c r="CX24" i="14"/>
  <c r="HM24" i="14" s="1"/>
  <c r="CX16" i="14"/>
  <c r="HM16" i="14" s="1"/>
  <c r="CX2" i="14"/>
  <c r="HM2" i="14" s="1"/>
  <c r="CX25" i="14"/>
  <c r="HM25" i="14" s="1"/>
  <c r="CX6" i="14"/>
  <c r="HM6" i="14" s="1"/>
  <c r="EN3" i="14" l="1"/>
  <c r="Z3" i="6"/>
  <c r="K7" i="18"/>
  <c r="G7" i="22" s="1"/>
  <c r="EN5" i="14"/>
  <c r="Z4" i="6"/>
  <c r="EN4" i="14"/>
  <c r="AA43" i="6"/>
  <c r="EN24" i="14"/>
  <c r="AA46" i="6"/>
  <c r="Z7" i="6"/>
  <c r="M9" i="18" s="1"/>
  <c r="EN22" i="14"/>
  <c r="EN7" i="14"/>
  <c r="EN23" i="14"/>
  <c r="AA54" i="6"/>
  <c r="K24" i="18"/>
  <c r="X7" i="22" s="1"/>
  <c r="Z18" i="6"/>
  <c r="M20" i="18" s="1"/>
  <c r="K25" i="18"/>
  <c r="Y7" i="22" s="1"/>
  <c r="EN18" i="14"/>
  <c r="AA49" i="6"/>
  <c r="K26" i="18"/>
  <c r="Z7" i="22" s="1"/>
  <c r="F6" i="29" s="1"/>
  <c r="K10" i="18"/>
  <c r="J7" i="22" s="1"/>
  <c r="E6" i="29" s="1"/>
  <c r="Z6" i="6"/>
  <c r="M8" i="18" s="1"/>
  <c r="EN6" i="14"/>
  <c r="EN12" i="14"/>
  <c r="EN11" i="14"/>
  <c r="Z15" i="6"/>
  <c r="K17" i="18"/>
  <c r="Q7" i="22" s="1"/>
  <c r="H6" i="29" s="1"/>
  <c r="L6" i="29" s="1"/>
  <c r="EN21" i="14"/>
  <c r="AA56" i="6"/>
  <c r="AA62" i="6"/>
  <c r="AA63" i="6"/>
  <c r="EN15" i="14"/>
  <c r="K5" i="18"/>
  <c r="E7" i="22" s="1"/>
  <c r="I6" i="29" s="1"/>
  <c r="Z20" i="6"/>
  <c r="M22" i="18" s="1"/>
  <c r="K22" i="18"/>
  <c r="V7" i="22" s="1"/>
  <c r="Z21" i="6"/>
  <c r="M23" i="18" s="1"/>
  <c r="EN20" i="14"/>
  <c r="K6" i="18"/>
  <c r="F7" i="22" s="1"/>
  <c r="G6" i="29" s="1"/>
  <c r="M6" i="18"/>
  <c r="Z5" i="6"/>
  <c r="M7" i="18" s="1"/>
  <c r="EN19" i="14"/>
  <c r="Z19" i="6"/>
  <c r="M21" i="18" s="1"/>
  <c r="EN16" i="14"/>
  <c r="Z16" i="6"/>
  <c r="EN17" i="14"/>
  <c r="Z17" i="6"/>
  <c r="M19" i="18" s="1"/>
  <c r="EN9" i="14"/>
  <c r="EN14" i="14"/>
  <c r="EN13" i="14"/>
  <c r="D6" i="29" l="1"/>
  <c r="J6" i="29" s="1"/>
  <c r="N6" i="29"/>
  <c r="K6" i="29"/>
  <c r="Z44" i="6"/>
  <c r="Z45" i="6"/>
  <c r="Z42" i="6"/>
  <c r="Z41" i="6"/>
  <c r="Z47" i="6"/>
  <c r="Z48" i="6"/>
  <c r="M5" i="18"/>
  <c r="Z55" i="6"/>
  <c r="M18" i="18"/>
  <c r="R8" i="22" s="1"/>
  <c r="F7" i="29" s="1"/>
  <c r="M17" i="18"/>
  <c r="Z49" i="6" l="1"/>
  <c r="M6" i="29"/>
  <c r="M7" i="29"/>
  <c r="O6" i="29"/>
  <c r="Z43" i="6"/>
  <c r="Z46" i="6"/>
  <c r="Z64" i="6"/>
  <c r="Z54" i="6"/>
  <c r="Z56" i="6"/>
  <c r="Z63" i="6"/>
  <c r="Z62" i="6"/>
  <c r="Z14" i="6" l="1"/>
  <c r="Z36" i="6" s="1"/>
  <c r="Z8" i="6"/>
  <c r="M10" i="18" s="1"/>
  <c r="AA14" i="6"/>
  <c r="AA35" i="6" s="1"/>
  <c r="AA52" i="6" s="1"/>
  <c r="AA8" i="6"/>
  <c r="N10" i="18" s="1"/>
  <c r="BH14" i="6"/>
  <c r="BH36" i="6" s="1"/>
  <c r="BH37" i="6" s="1"/>
  <c r="BE14" i="6"/>
  <c r="BE36" i="6" s="1"/>
  <c r="AQ14" i="6"/>
  <c r="AQ35" i="6" s="1"/>
  <c r="AQ52" i="6" s="1"/>
  <c r="AL14" i="6"/>
  <c r="Y16" i="18" s="1"/>
  <c r="AI14" i="6"/>
  <c r="AI36" i="6" s="1"/>
  <c r="BL14" i="6"/>
  <c r="BL36" i="6" s="1"/>
  <c r="BL37" i="6" s="1"/>
  <c r="AJ14" i="6"/>
  <c r="AJ36" i="6" s="1"/>
  <c r="BG14" i="6"/>
  <c r="BG36" i="6" s="1"/>
  <c r="BJ14" i="6"/>
  <c r="BJ36" i="6" s="1"/>
  <c r="BJ37" i="6" s="1"/>
  <c r="AY14" i="6"/>
  <c r="AL16" i="18" s="1"/>
  <c r="T14" i="6"/>
  <c r="T35" i="6" s="1"/>
  <c r="T52" i="6" s="1"/>
  <c r="X14" i="6"/>
  <c r="X36" i="6" s="1"/>
  <c r="BA14" i="6"/>
  <c r="BA36" i="6" s="1"/>
  <c r="BA37" i="6" s="1"/>
  <c r="AB14" i="6"/>
  <c r="AB36" i="6" s="1"/>
  <c r="AT14" i="6"/>
  <c r="AT35" i="6" s="1"/>
  <c r="AT52" i="6" s="1"/>
  <c r="BM14" i="6"/>
  <c r="AG14" i="6"/>
  <c r="T16" i="18" s="1"/>
  <c r="AH14" i="6"/>
  <c r="U16" i="18" s="1"/>
  <c r="W14" i="6"/>
  <c r="W36" i="6" s="1"/>
  <c r="W60" i="6" s="1"/>
  <c r="BI14" i="6"/>
  <c r="BI36" i="6" s="1"/>
  <c r="Y14" i="6"/>
  <c r="L16" i="18" s="1"/>
  <c r="P8" i="22" s="1"/>
  <c r="G7" i="29" s="1"/>
  <c r="K7" i="29" s="1"/>
  <c r="AX14" i="6"/>
  <c r="AX35" i="6" s="1"/>
  <c r="AX52" i="6" s="1"/>
  <c r="AE14" i="6"/>
  <c r="AE36" i="6" s="1"/>
  <c r="AZ14" i="6"/>
  <c r="AZ36" i="6" s="1"/>
  <c r="U14" i="6"/>
  <c r="U36" i="6" s="1"/>
  <c r="U60" i="6" s="1"/>
  <c r="AC14" i="6"/>
  <c r="AK14" i="6"/>
  <c r="X16" i="18" s="1"/>
  <c r="BC14" i="6"/>
  <c r="BC35" i="6" s="1"/>
  <c r="BC52" i="6" s="1"/>
  <c r="AM14" i="6"/>
  <c r="AM36" i="6" s="1"/>
  <c r="AV14" i="6"/>
  <c r="AV36" i="6" s="1"/>
  <c r="AV37" i="6" s="1"/>
  <c r="AO14" i="6"/>
  <c r="BD14" i="6"/>
  <c r="BD35" i="6" s="1"/>
  <c r="BD52" i="6" s="1"/>
  <c r="AN14" i="6"/>
  <c r="AA16" i="18" s="1"/>
  <c r="S14" i="6"/>
  <c r="S36" i="6" s="1"/>
  <c r="AW14" i="6"/>
  <c r="AJ16" i="18" s="1"/>
  <c r="BB14" i="6"/>
  <c r="BB36" i="6" s="1"/>
  <c r="BF14" i="6"/>
  <c r="BF35" i="6" s="1"/>
  <c r="BF52" i="6" s="1"/>
  <c r="AP14" i="6"/>
  <c r="AP36" i="6" s="1"/>
  <c r="AF14" i="6"/>
  <c r="AF35" i="6" s="1"/>
  <c r="AF52" i="6" s="1"/>
  <c r="AS14" i="6"/>
  <c r="AS36" i="6" s="1"/>
  <c r="AR14" i="6"/>
  <c r="AE16" i="18" s="1"/>
  <c r="BK14" i="6"/>
  <c r="BK36" i="6" s="1"/>
  <c r="BK37" i="6" s="1"/>
  <c r="AD14" i="6"/>
  <c r="AD35" i="6" s="1"/>
  <c r="AD52" i="6" s="1"/>
  <c r="AU14" i="6"/>
  <c r="AU36" i="6" s="1"/>
  <c r="V14" i="6"/>
  <c r="V36" i="6" s="1"/>
  <c r="V60" i="6" s="1"/>
  <c r="AB11" i="6"/>
  <c r="O13" i="18" s="1"/>
  <c r="AU12" i="6"/>
  <c r="AH14" i="18" s="1"/>
  <c r="AQ11" i="6"/>
  <c r="AD13" i="18" s="1"/>
  <c r="AH11" i="6"/>
  <c r="U13" i="18" s="1"/>
  <c r="AR12" i="6"/>
  <c r="AE14" i="18" s="1"/>
  <c r="AX12" i="6"/>
  <c r="AK14" i="18" s="1"/>
  <c r="AX11" i="6"/>
  <c r="AK13" i="18" s="1"/>
  <c r="AV12" i="6"/>
  <c r="AI14" i="18" s="1"/>
  <c r="AY11" i="6"/>
  <c r="AL13" i="18" s="1"/>
  <c r="BH12" i="6"/>
  <c r="AU14" i="18" s="1"/>
  <c r="AI12" i="6"/>
  <c r="V14" i="18" s="1"/>
  <c r="BH11" i="6"/>
  <c r="AU13" i="18" s="1"/>
  <c r="AK12" i="6"/>
  <c r="X14" i="18" s="1"/>
  <c r="BM11" i="6"/>
  <c r="AZ13" i="18" s="1"/>
  <c r="AZ11" i="6"/>
  <c r="AM13" i="18" s="1"/>
  <c r="BM12" i="6"/>
  <c r="AZ14" i="18" s="1"/>
  <c r="AM11" i="6"/>
  <c r="Z13" i="18" s="1"/>
  <c r="BE11" i="6"/>
  <c r="AR13" i="18" s="1"/>
  <c r="AL12" i="6"/>
  <c r="Y14" i="18" s="1"/>
  <c r="AK11" i="6"/>
  <c r="X13" i="18" s="1"/>
  <c r="AB12" i="6"/>
  <c r="O14" i="18" s="1"/>
  <c r="V8" i="6"/>
  <c r="X8" i="6"/>
  <c r="AF12" i="6"/>
  <c r="S14" i="18" s="1"/>
  <c r="AC12" i="6"/>
  <c r="P14" i="18" s="1"/>
  <c r="AS8" i="6"/>
  <c r="Y11" i="6"/>
  <c r="L13" i="18" s="1"/>
  <c r="M8" i="22" s="1"/>
  <c r="AR8" i="6"/>
  <c r="AH8" i="6"/>
  <c r="U10" i="18" s="1"/>
  <c r="AI11" i="6"/>
  <c r="V13" i="18" s="1"/>
  <c r="BD11" i="6"/>
  <c r="AQ13" i="18" s="1"/>
  <c r="AO12" i="6"/>
  <c r="AB14" i="18" s="1"/>
  <c r="AY8" i="6"/>
  <c r="AL10" i="18" s="1"/>
  <c r="AB8" i="6"/>
  <c r="O10" i="18" s="1"/>
  <c r="AS11" i="6"/>
  <c r="AF13" i="18" s="1"/>
  <c r="AW11" i="6"/>
  <c r="AJ13" i="18" s="1"/>
  <c r="AG11" i="6"/>
  <c r="T13" i="18" s="1"/>
  <c r="AT12" i="6"/>
  <c r="AG14" i="18" s="1"/>
  <c r="BJ12" i="6"/>
  <c r="AW14" i="18" s="1"/>
  <c r="BK11" i="6"/>
  <c r="AX13" i="18" s="1"/>
  <c r="AQ12" i="6"/>
  <c r="AD14" i="18" s="1"/>
  <c r="AN11" i="6"/>
  <c r="AA13" i="18" s="1"/>
  <c r="BL12" i="6"/>
  <c r="AY14" i="18" s="1"/>
  <c r="AN12" i="6"/>
  <c r="AA14" i="18" s="1"/>
  <c r="AG8" i="6"/>
  <c r="T10" i="18" s="1"/>
  <c r="AM12" i="6"/>
  <c r="Z14" i="18" s="1"/>
  <c r="AL11" i="6"/>
  <c r="Y13" i="18" s="1"/>
  <c r="AF11" i="6"/>
  <c r="S13" i="18" s="1"/>
  <c r="BC12" i="6"/>
  <c r="AP14" i="18" s="1"/>
  <c r="BK12" i="6"/>
  <c r="AX14" i="18" s="1"/>
  <c r="AU11" i="6"/>
  <c r="AH13" i="18" s="1"/>
  <c r="AW12" i="6"/>
  <c r="AJ14" i="18" s="1"/>
  <c r="AN8" i="6"/>
  <c r="AI8" i="6"/>
  <c r="BL11" i="6"/>
  <c r="AY13" i="18" s="1"/>
  <c r="AJ11" i="6"/>
  <c r="W13" i="18" s="1"/>
  <c r="BE12" i="6"/>
  <c r="AR14" i="18" s="1"/>
  <c r="BL8" i="6"/>
  <c r="AY10" i="18" s="1"/>
  <c r="AC8" i="6"/>
  <c r="AK8" i="6"/>
  <c r="X10" i="18" s="1"/>
  <c r="AL8" i="6"/>
  <c r="AD11" i="6"/>
  <c r="Q13" i="18" s="1"/>
  <c r="AV11" i="6"/>
  <c r="AI13" i="18" s="1"/>
  <c r="Y8" i="6"/>
  <c r="BA11" i="6"/>
  <c r="AN13" i="18" s="1"/>
  <c r="BB11" i="6"/>
  <c r="AO13" i="18" s="1"/>
  <c r="AJ8" i="6"/>
  <c r="AT11" i="6"/>
  <c r="AG13" i="18" s="1"/>
  <c r="BI12" i="6"/>
  <c r="AV14" i="18" s="1"/>
  <c r="AP12" i="6"/>
  <c r="AC14" i="18" s="1"/>
  <c r="AG12" i="6"/>
  <c r="T14" i="18" s="1"/>
  <c r="AZ12" i="6"/>
  <c r="AM14" i="18" s="1"/>
  <c r="BA12" i="6"/>
  <c r="AN14" i="18" s="1"/>
  <c r="BI11" i="6"/>
  <c r="AV13" i="18" s="1"/>
  <c r="BG12" i="6"/>
  <c r="AT14" i="18" s="1"/>
  <c r="BG11" i="6"/>
  <c r="AT13" i="18" s="1"/>
  <c r="AY12" i="6"/>
  <c r="AL14" i="18" s="1"/>
  <c r="AO11" i="6"/>
  <c r="AB13" i="18" s="1"/>
  <c r="AS12" i="6"/>
  <c r="AF14" i="18" s="1"/>
  <c r="AW8" i="6"/>
  <c r="AJ10" i="18" s="1"/>
  <c r="BG8" i="6"/>
  <c r="AT10" i="18" s="1"/>
  <c r="AO8" i="6"/>
  <c r="AB10" i="18" s="1"/>
  <c r="BA8" i="6"/>
  <c r="AN10" i="18" s="1"/>
  <c r="AD8" i="6"/>
  <c r="Q10" i="18" s="1"/>
  <c r="U8" i="6"/>
  <c r="BF11" i="6"/>
  <c r="AS13" i="18" s="1"/>
  <c r="AP11" i="6"/>
  <c r="AC13" i="18" s="1"/>
  <c r="AM8" i="6"/>
  <c r="Z10" i="18" s="1"/>
  <c r="BF12" i="6"/>
  <c r="AS14" i="18" s="1"/>
  <c r="BD12" i="6"/>
  <c r="AQ14" i="18" s="1"/>
  <c r="Y12" i="6"/>
  <c r="L14" i="18" s="1"/>
  <c r="N8" i="22" s="1"/>
  <c r="BB12" i="6"/>
  <c r="AO14" i="18" s="1"/>
  <c r="T8" i="6"/>
  <c r="S8" i="6"/>
  <c r="AF8" i="6"/>
  <c r="BK8" i="6"/>
  <c r="AX10" i="18" s="1"/>
  <c r="AE11" i="6"/>
  <c r="R13" i="18" s="1"/>
  <c r="AR11" i="6"/>
  <c r="AE13" i="18" s="1"/>
  <c r="AE12" i="6"/>
  <c r="R14" i="18" s="1"/>
  <c r="AC11" i="6"/>
  <c r="P13" i="18" s="1"/>
  <c r="AD12" i="6"/>
  <c r="Q14" i="18" s="1"/>
  <c r="AJ12" i="6"/>
  <c r="W14" i="18" s="1"/>
  <c r="AH12" i="6"/>
  <c r="U14" i="18" s="1"/>
  <c r="BJ11" i="6"/>
  <c r="AW13" i="18" s="1"/>
  <c r="BC11" i="6"/>
  <c r="AP13" i="18" s="1"/>
  <c r="BF8" i="6"/>
  <c r="AS10" i="18" s="1"/>
  <c r="AT8" i="6"/>
  <c r="AV8" i="6"/>
  <c r="AI10" i="18" s="1"/>
  <c r="BC8" i="6"/>
  <c r="AP10" i="18" s="1"/>
  <c r="AQ8" i="6"/>
  <c r="AZ8" i="6"/>
  <c r="AM10" i="18" s="1"/>
  <c r="AE8" i="6"/>
  <c r="BE8" i="6"/>
  <c r="AR10" i="18" s="1"/>
  <c r="BH8" i="6"/>
  <c r="AU10" i="18" s="1"/>
  <c r="BJ8" i="6"/>
  <c r="AW10" i="18" s="1"/>
  <c r="BD8" i="6"/>
  <c r="AQ10" i="18" s="1"/>
  <c r="BB8" i="6"/>
  <c r="AO10" i="18" s="1"/>
  <c r="AP8" i="6"/>
  <c r="AX8" i="6"/>
  <c r="AK10" i="18" s="1"/>
  <c r="BM8" i="6"/>
  <c r="AZ10" i="18" s="1"/>
  <c r="AU8" i="6"/>
  <c r="BI8" i="6"/>
  <c r="AV10" i="18" s="1"/>
  <c r="W8" i="6"/>
  <c r="AA12" i="6"/>
  <c r="N14" i="18" s="1"/>
  <c r="Z12" i="6"/>
  <c r="M14" i="18" s="1"/>
  <c r="X12" i="6"/>
  <c r="S12" i="6"/>
  <c r="V12" i="6"/>
  <c r="W12" i="6"/>
  <c r="T12" i="6"/>
  <c r="U12" i="6"/>
  <c r="Z11" i="6"/>
  <c r="M13" i="18" s="1"/>
  <c r="AA11" i="6"/>
  <c r="N13" i="18" s="1"/>
  <c r="S11" i="6"/>
  <c r="W11" i="6"/>
  <c r="X11" i="6"/>
  <c r="U11" i="6"/>
  <c r="T11" i="6"/>
  <c r="V11" i="6"/>
  <c r="Z13" i="6"/>
  <c r="M15" i="18" s="1"/>
  <c r="AA13" i="6"/>
  <c r="N15" i="18" s="1"/>
  <c r="AL13" i="6"/>
  <c r="Y15" i="18" s="1"/>
  <c r="BC13" i="6"/>
  <c r="AP15" i="18" s="1"/>
  <c r="AB13" i="6"/>
  <c r="O15" i="18" s="1"/>
  <c r="AZ13" i="6"/>
  <c r="AM15" i="18" s="1"/>
  <c r="AV13" i="6"/>
  <c r="AI15" i="18" s="1"/>
  <c r="AU13" i="6"/>
  <c r="AH15" i="18" s="1"/>
  <c r="AI13" i="6"/>
  <c r="V15" i="18" s="1"/>
  <c r="AY13" i="6"/>
  <c r="AL15" i="18" s="1"/>
  <c r="BF13" i="6"/>
  <c r="AS15" i="18" s="1"/>
  <c r="BL13" i="6"/>
  <c r="AY15" i="18" s="1"/>
  <c r="W13" i="6"/>
  <c r="BB13" i="6"/>
  <c r="AO15" i="18" s="1"/>
  <c r="AX13" i="6"/>
  <c r="AK15" i="18" s="1"/>
  <c r="AG13" i="6"/>
  <c r="T15" i="18" s="1"/>
  <c r="AM13" i="6"/>
  <c r="Z15" i="18" s="1"/>
  <c r="BD13" i="6"/>
  <c r="AQ15" i="18" s="1"/>
  <c r="T13" i="6"/>
  <c r="Y13" i="6"/>
  <c r="L15" i="18" s="1"/>
  <c r="O8" i="22" s="1"/>
  <c r="AT13" i="6"/>
  <c r="AG15" i="18" s="1"/>
  <c r="AK13" i="6"/>
  <c r="X15" i="18" s="1"/>
  <c r="AF13" i="6"/>
  <c r="S15" i="18" s="1"/>
  <c r="AR13" i="6"/>
  <c r="AE15" i="18" s="1"/>
  <c r="X13" i="6"/>
  <c r="S13" i="6"/>
  <c r="V13" i="6"/>
  <c r="BH13" i="6"/>
  <c r="AU15" i="18" s="1"/>
  <c r="BK13" i="6"/>
  <c r="AX15" i="18" s="1"/>
  <c r="AC13" i="6"/>
  <c r="P15" i="18" s="1"/>
  <c r="AN13" i="6"/>
  <c r="AA15" i="18" s="1"/>
  <c r="U13" i="6"/>
  <c r="AS13" i="6"/>
  <c r="AF15" i="18" s="1"/>
  <c r="AD13" i="6"/>
  <c r="Q15" i="18" s="1"/>
  <c r="AJ13" i="6"/>
  <c r="W15" i="18" s="1"/>
  <c r="BG13" i="6"/>
  <c r="AT15" i="18" s="1"/>
  <c r="AH13" i="6"/>
  <c r="U15" i="18" s="1"/>
  <c r="BI13" i="6"/>
  <c r="AV15" i="18" s="1"/>
  <c r="AE13" i="6"/>
  <c r="R15" i="18" s="1"/>
  <c r="AO13" i="6"/>
  <c r="AB15" i="18" s="1"/>
  <c r="BM13" i="6"/>
  <c r="AZ15" i="18" s="1"/>
  <c r="BE13" i="6"/>
  <c r="AR15" i="18" s="1"/>
  <c r="BJ13" i="6"/>
  <c r="AW15" i="18" s="1"/>
  <c r="BA13" i="6"/>
  <c r="AN15" i="18" s="1"/>
  <c r="AQ13" i="6"/>
  <c r="AD15" i="18" s="1"/>
  <c r="AW13" i="6"/>
  <c r="AJ15" i="18" s="1"/>
  <c r="AP13" i="6"/>
  <c r="AC15" i="18" s="1"/>
  <c r="Z10" i="6"/>
  <c r="M12" i="18" s="1"/>
  <c r="AA10" i="6"/>
  <c r="W10" i="6"/>
  <c r="AD10" i="6"/>
  <c r="AG10" i="6"/>
  <c r="AH10" i="6"/>
  <c r="AB10" i="6"/>
  <c r="O12" i="18" s="1"/>
  <c r="S10" i="6"/>
  <c r="Y10" i="6"/>
  <c r="L12" i="18" s="1"/>
  <c r="L8" i="22" s="1"/>
  <c r="AK10" i="6"/>
  <c r="AF10" i="6"/>
  <c r="S12" i="18" s="1"/>
  <c r="AQ10" i="6"/>
  <c r="AD12" i="18" s="1"/>
  <c r="BL10" i="6"/>
  <c r="X10" i="6"/>
  <c r="AS10" i="6"/>
  <c r="AF12" i="18" s="1"/>
  <c r="AY10" i="6"/>
  <c r="AL12" i="18" s="1"/>
  <c r="BD10" i="6"/>
  <c r="BM10" i="6"/>
  <c r="AZ12" i="18" s="1"/>
  <c r="AZ10" i="6"/>
  <c r="AE10" i="6"/>
  <c r="R12" i="18" s="1"/>
  <c r="BI10" i="6"/>
  <c r="AN10" i="6"/>
  <c r="AA12" i="18" s="1"/>
  <c r="AC10" i="6"/>
  <c r="P12" i="18" s="1"/>
  <c r="AT10" i="6"/>
  <c r="AG12" i="18" s="1"/>
  <c r="BJ10" i="6"/>
  <c r="BG10" i="6"/>
  <c r="AT12" i="18" s="1"/>
  <c r="BK10" i="6"/>
  <c r="AX12" i="18" s="1"/>
  <c r="AP10" i="6"/>
  <c r="AC12" i="18" s="1"/>
  <c r="AV10" i="6"/>
  <c r="AI10" i="6"/>
  <c r="V12" i="18" s="1"/>
  <c r="AJ10" i="6"/>
  <c r="W12" i="18" s="1"/>
  <c r="AO10" i="6"/>
  <c r="AW10" i="6"/>
  <c r="AW38" i="6" s="1"/>
  <c r="AW53" i="6" s="1"/>
  <c r="BH10" i="6"/>
  <c r="AU12" i="18" s="1"/>
  <c r="U10" i="6"/>
  <c r="T10" i="6"/>
  <c r="AL10" i="6"/>
  <c r="Y12" i="18" s="1"/>
  <c r="AX10" i="6"/>
  <c r="AK12" i="18" s="1"/>
  <c r="BC10" i="6"/>
  <c r="AM10" i="6"/>
  <c r="BF10" i="6"/>
  <c r="AS12" i="18" s="1"/>
  <c r="V10" i="6"/>
  <c r="BB10" i="6"/>
  <c r="AU10" i="6"/>
  <c r="AH12" i="18" s="1"/>
  <c r="AR10" i="6"/>
  <c r="AE12" i="18" s="1"/>
  <c r="BE10" i="6"/>
  <c r="AR12" i="18" s="1"/>
  <c r="BA10" i="6"/>
  <c r="AN12" i="18" s="1"/>
  <c r="R39" i="6"/>
  <c r="R61" i="6" s="1"/>
  <c r="Z9" i="6"/>
  <c r="M11" i="18" s="1"/>
  <c r="AA9" i="6"/>
  <c r="N11" i="18" s="1"/>
  <c r="AY9" i="6"/>
  <c r="AL11" i="18" s="1"/>
  <c r="AB9" i="6"/>
  <c r="W9" i="6"/>
  <c r="BB9" i="6"/>
  <c r="AX9" i="6"/>
  <c r="BE9" i="6"/>
  <c r="AQ9" i="6"/>
  <c r="BF9" i="6"/>
  <c r="AD9" i="6"/>
  <c r="BG9" i="6"/>
  <c r="AK9" i="6"/>
  <c r="AZ9" i="6"/>
  <c r="AM11" i="18" s="1"/>
  <c r="U9" i="6"/>
  <c r="T9" i="6"/>
  <c r="V9" i="6"/>
  <c r="AC9" i="6"/>
  <c r="BL9" i="6"/>
  <c r="AY11" i="18" s="1"/>
  <c r="AP9" i="6"/>
  <c r="AC11" i="18" s="1"/>
  <c r="AT9" i="6"/>
  <c r="AG11" i="18" s="1"/>
  <c r="X9" i="6"/>
  <c r="Y9" i="6"/>
  <c r="L11" i="18" s="1"/>
  <c r="K8" i="22" s="1"/>
  <c r="AE9" i="6"/>
  <c r="AI9" i="6"/>
  <c r="BI9" i="6"/>
  <c r="BM9" i="6"/>
  <c r="AU9" i="6"/>
  <c r="AH11" i="18" s="1"/>
  <c r="AV9" i="6"/>
  <c r="AL9" i="6"/>
  <c r="AH9" i="6"/>
  <c r="U11" i="18" s="1"/>
  <c r="BC9" i="6"/>
  <c r="BJ9" i="6"/>
  <c r="BD9" i="6"/>
  <c r="AF9" i="6"/>
  <c r="S11" i="18" s="1"/>
  <c r="AR9" i="6"/>
  <c r="AE11" i="18" s="1"/>
  <c r="AM9" i="6"/>
  <c r="AS9" i="6"/>
  <c r="BA9" i="6"/>
  <c r="AN11" i="18" s="1"/>
  <c r="AO9" i="6"/>
  <c r="AG9" i="6"/>
  <c r="BK9" i="6"/>
  <c r="BH9" i="6"/>
  <c r="AJ9" i="6"/>
  <c r="AN9" i="6"/>
  <c r="AW9" i="6"/>
  <c r="S9" i="6"/>
  <c r="R35" i="6"/>
  <c r="R52" i="6" s="1"/>
  <c r="R33" i="6"/>
  <c r="R59" i="6" s="1"/>
  <c r="R32" i="6"/>
  <c r="R51" i="6" s="1"/>
  <c r="R38" i="6"/>
  <c r="R53" i="6" s="1"/>
  <c r="R36" i="6"/>
  <c r="R60" i="6" s="1"/>
  <c r="I7" i="29" l="1"/>
  <c r="L7" i="29" s="1"/>
  <c r="M14" i="22"/>
  <c r="M33" i="22" s="1"/>
  <c r="O14" i="22"/>
  <c r="O33" i="22" s="1"/>
  <c r="N14" i="22"/>
  <c r="N33" i="22" s="1"/>
  <c r="P14" i="22"/>
  <c r="BE60" i="6"/>
  <c r="AE60" i="6"/>
  <c r="AP60" i="6"/>
  <c r="AP37" i="6"/>
  <c r="AB60" i="6"/>
  <c r="AB37" i="6"/>
  <c r="AM37" i="6"/>
  <c r="AZ38" i="6"/>
  <c r="AZ53" i="6" s="1"/>
  <c r="S35" i="6"/>
  <c r="S52" i="6" s="1"/>
  <c r="W38" i="6"/>
  <c r="W53" i="6" s="1"/>
  <c r="BJ39" i="6"/>
  <c r="BD38" i="6"/>
  <c r="BD53" i="6" s="1"/>
  <c r="BI38" i="6"/>
  <c r="BI53" i="6" s="1"/>
  <c r="BL38" i="6"/>
  <c r="BL53" i="6" s="1"/>
  <c r="BB38" i="6"/>
  <c r="BB53" i="6" s="1"/>
  <c r="AD39" i="6"/>
  <c r="AV38" i="6"/>
  <c r="AV53" i="6" s="1"/>
  <c r="AO12" i="18"/>
  <c r="AM38" i="6"/>
  <c r="AM53" i="6" s="1"/>
  <c r="AP35" i="6"/>
  <c r="AP52" i="6" s="1"/>
  <c r="BK35" i="6"/>
  <c r="BK52" i="6" s="1"/>
  <c r="AR16" i="18"/>
  <c r="V35" i="6"/>
  <c r="V52" i="6" s="1"/>
  <c r="AS16" i="18"/>
  <c r="AB35" i="6"/>
  <c r="AB52" i="6" s="1"/>
  <c r="W16" i="18"/>
  <c r="AF16" i="18"/>
  <c r="AM16" i="18"/>
  <c r="AH35" i="6"/>
  <c r="AH52" i="6" s="1"/>
  <c r="BA38" i="6"/>
  <c r="BA53" i="6" s="1"/>
  <c r="AK38" i="6"/>
  <c r="AK53" i="6" s="1"/>
  <c r="AU35" i="6"/>
  <c r="AU52" i="6" s="1"/>
  <c r="S16" i="18"/>
  <c r="AZ35" i="6"/>
  <c r="AZ52" i="6" s="1"/>
  <c r="AG35" i="6"/>
  <c r="AG52" i="6" s="1"/>
  <c r="BA35" i="6"/>
  <c r="BA52" i="6" s="1"/>
  <c r="AU38" i="6"/>
  <c r="AU53" i="6" s="1"/>
  <c r="T39" i="6"/>
  <c r="T61" i="6" s="1"/>
  <c r="AI39" i="6"/>
  <c r="AX36" i="6"/>
  <c r="AX16" i="18"/>
  <c r="AC16" i="18"/>
  <c r="AM35" i="6"/>
  <c r="AM52" i="6" s="1"/>
  <c r="R37" i="6"/>
  <c r="AG16" i="18"/>
  <c r="AH38" i="6"/>
  <c r="AH53" i="6" s="1"/>
  <c r="AP39" i="6"/>
  <c r="BE35" i="6"/>
  <c r="BE52" i="6" s="1"/>
  <c r="BB60" i="6"/>
  <c r="V39" i="6"/>
  <c r="V61" i="6" s="1"/>
  <c r="AV35" i="6"/>
  <c r="AV52" i="6" s="1"/>
  <c r="AG38" i="6"/>
  <c r="AG53" i="6" s="1"/>
  <c r="V10" i="18"/>
  <c r="BB35" i="6"/>
  <c r="BB52" i="6" s="1"/>
  <c r="AI16" i="18"/>
  <c r="AE35" i="6"/>
  <c r="AE52" i="6" s="1"/>
  <c r="BJ35" i="6"/>
  <c r="BJ52" i="6" s="1"/>
  <c r="BL35" i="6"/>
  <c r="BL52" i="6" s="1"/>
  <c r="BC36" i="6"/>
  <c r="BC37" i="6" s="1"/>
  <c r="BI35" i="6"/>
  <c r="BI52" i="6" s="1"/>
  <c r="Z35" i="6"/>
  <c r="Z52" i="6" s="1"/>
  <c r="AO39" i="6"/>
  <c r="X12" i="18"/>
  <c r="Y39" i="6"/>
  <c r="Y61" i="6" s="1"/>
  <c r="BL39" i="6"/>
  <c r="AN38" i="6"/>
  <c r="AN53" i="6" s="1"/>
  <c r="Z16" i="18"/>
  <c r="O16" i="18"/>
  <c r="AJ35" i="6"/>
  <c r="AJ52" i="6" s="1"/>
  <c r="BC38" i="6"/>
  <c r="BC53" i="6" s="1"/>
  <c r="AA39" i="6"/>
  <c r="AA61" i="6" s="1"/>
  <c r="AS38" i="6"/>
  <c r="AS53" i="6" s="1"/>
  <c r="AH16" i="18"/>
  <c r="U35" i="6"/>
  <c r="U52" i="6" s="1"/>
  <c r="AN16" i="18"/>
  <c r="R16" i="18"/>
  <c r="AL35" i="6"/>
  <c r="AL52" i="6" s="1"/>
  <c r="AF36" i="6"/>
  <c r="N16" i="18"/>
  <c r="BB39" i="6"/>
  <c r="BE39" i="6"/>
  <c r="AV16" i="18"/>
  <c r="AI35" i="6"/>
  <c r="AI52" i="6" s="1"/>
  <c r="AE38" i="6"/>
  <c r="AE53" i="6" s="1"/>
  <c r="AJ38" i="6"/>
  <c r="AJ53" i="6" s="1"/>
  <c r="AD16" i="18"/>
  <c r="AH36" i="6"/>
  <c r="AY12" i="18"/>
  <c r="BA39" i="6"/>
  <c r="W10" i="18"/>
  <c r="AB38" i="6"/>
  <c r="AB53" i="6" s="1"/>
  <c r="AS35" i="6"/>
  <c r="AS52" i="6" s="1"/>
  <c r="AO16" i="18"/>
  <c r="W35" i="6"/>
  <c r="W52" i="6" s="1"/>
  <c r="AY16" i="18"/>
  <c r="M16" i="18"/>
  <c r="R34" i="6"/>
  <c r="BJ61" i="6"/>
  <c r="AO32" i="6"/>
  <c r="AO51" i="6" s="1"/>
  <c r="AO33" i="6"/>
  <c r="AB11" i="18"/>
  <c r="AI12" i="18"/>
  <c r="BM33" i="6"/>
  <c r="BM32" i="6"/>
  <c r="BM51" i="6" s="1"/>
  <c r="AK33" i="6"/>
  <c r="AK34" i="6" s="1"/>
  <c r="AK32" i="6"/>
  <c r="AK51" i="6" s="1"/>
  <c r="AQ33" i="6"/>
  <c r="AQ34" i="6" s="1"/>
  <c r="AQ32" i="6"/>
  <c r="AQ51" i="6" s="1"/>
  <c r="W33" i="6"/>
  <c r="W32" i="6"/>
  <c r="W51" i="6" s="1"/>
  <c r="BM39" i="6"/>
  <c r="BM40" i="6" s="1"/>
  <c r="AL39" i="6"/>
  <c r="AL40" i="6" s="1"/>
  <c r="BM38" i="6"/>
  <c r="BM53" i="6" s="1"/>
  <c r="AS39" i="6"/>
  <c r="BK60" i="6"/>
  <c r="AB16" i="18"/>
  <c r="AO35" i="6"/>
  <c r="AO52" i="6" s="1"/>
  <c r="AZ60" i="6"/>
  <c r="BA60" i="6"/>
  <c r="AD36" i="6"/>
  <c r="AD37" i="6" s="1"/>
  <c r="AZ33" i="6"/>
  <c r="AZ34" i="6" s="1"/>
  <c r="AZ32" i="6"/>
  <c r="AZ51" i="6" s="1"/>
  <c r="AW39" i="6"/>
  <c r="AW40" i="6" s="1"/>
  <c r="AW12" i="18"/>
  <c r="AZ11" i="18"/>
  <c r="AC33" i="6"/>
  <c r="AC34" i="6" s="1"/>
  <c r="AC32" i="6"/>
  <c r="AC51" i="6" s="1"/>
  <c r="X11" i="18"/>
  <c r="AD11" i="18"/>
  <c r="AB32" i="6"/>
  <c r="AB51" i="6" s="1"/>
  <c r="AB33" i="6"/>
  <c r="R40" i="6"/>
  <c r="AB12" i="18"/>
  <c r="BK39" i="6"/>
  <c r="BK40" i="6" s="1"/>
  <c r="AO38" i="6"/>
  <c r="AO53" i="6" s="1"/>
  <c r="BK38" i="6"/>
  <c r="BK53" i="6" s="1"/>
  <c r="AY39" i="6"/>
  <c r="BJ38" i="6"/>
  <c r="BJ53" i="6" s="1"/>
  <c r="BD39" i="6"/>
  <c r="BD40" i="6" s="1"/>
  <c r="X60" i="6"/>
  <c r="AI60" i="6"/>
  <c r="Z38" i="6"/>
  <c r="Z53" i="6" s="1"/>
  <c r="BC33" i="6"/>
  <c r="BC32" i="6"/>
  <c r="BC51" i="6" s="1"/>
  <c r="BB33" i="6"/>
  <c r="BB32" i="6"/>
  <c r="BB51" i="6" s="1"/>
  <c r="AO11" i="18"/>
  <c r="AH32" i="6"/>
  <c r="AH51" i="6" s="1"/>
  <c r="AH33" i="6"/>
  <c r="AH34" i="6" s="1"/>
  <c r="S32" i="6"/>
  <c r="S51" i="6" s="1"/>
  <c r="S33" i="6"/>
  <c r="AW32" i="6"/>
  <c r="AW51" i="6" s="1"/>
  <c r="AW33" i="6"/>
  <c r="AW34" i="6" s="1"/>
  <c r="AS33" i="6"/>
  <c r="AS32" i="6"/>
  <c r="AS51" i="6" s="1"/>
  <c r="BD33" i="6"/>
  <c r="BD32" i="6"/>
  <c r="BD51" i="6" s="1"/>
  <c r="AL33" i="6"/>
  <c r="AL34" i="6" s="1"/>
  <c r="AL32" i="6"/>
  <c r="AL51" i="6" s="1"/>
  <c r="BI33" i="6"/>
  <c r="BI34" i="6" s="1"/>
  <c r="BI32" i="6"/>
  <c r="BI51" i="6" s="1"/>
  <c r="P11" i="18"/>
  <c r="BG33" i="6"/>
  <c r="BG34" i="6" s="1"/>
  <c r="BG32" i="6"/>
  <c r="BG51" i="6" s="1"/>
  <c r="BE32" i="6"/>
  <c r="BE51" i="6" s="1"/>
  <c r="BE33" i="6"/>
  <c r="BE34" i="6" s="1"/>
  <c r="O11" i="18"/>
  <c r="N12" i="18"/>
  <c r="AX38" i="6"/>
  <c r="AX53" i="6" s="1"/>
  <c r="AD10" i="18"/>
  <c r="AQ39" i="6"/>
  <c r="AQ40" i="6" s="1"/>
  <c r="BF38" i="6"/>
  <c r="BF53" i="6" s="1"/>
  <c r="S10" i="18"/>
  <c r="AF39" i="6"/>
  <c r="U38" i="6"/>
  <c r="U53" i="6" s="1"/>
  <c r="AH39" i="6"/>
  <c r="AW36" i="6"/>
  <c r="AW35" i="6"/>
  <c r="AW52" i="6" s="1"/>
  <c r="AV60" i="6"/>
  <c r="P16" i="18"/>
  <c r="AC36" i="6"/>
  <c r="AC37" i="6" s="1"/>
  <c r="BM35" i="6"/>
  <c r="BM52" i="6" s="1"/>
  <c r="AZ16" i="18"/>
  <c r="BM36" i="6"/>
  <c r="AJ60" i="6"/>
  <c r="BC60" i="6"/>
  <c r="AL36" i="6"/>
  <c r="AL37" i="6" s="1"/>
  <c r="AO36" i="6"/>
  <c r="AR33" i="6"/>
  <c r="AR32" i="6"/>
  <c r="AR51" i="6" s="1"/>
  <c r="BF32" i="6"/>
  <c r="BF51" i="6" s="1"/>
  <c r="BF33" i="6"/>
  <c r="BF34" i="6" s="1"/>
  <c r="U37" i="6"/>
  <c r="AP11" i="18"/>
  <c r="AS11" i="18"/>
  <c r="AV12" i="18"/>
  <c r="Q12" i="18"/>
  <c r="R10" i="18"/>
  <c r="R32" i="22" s="1" a="1"/>
  <c r="R32" i="22" s="1"/>
  <c r="AE39" i="6"/>
  <c r="AE40" i="6" s="1"/>
  <c r="AV39" i="6"/>
  <c r="AV40" i="6" s="1"/>
  <c r="BG60" i="6"/>
  <c r="BA33" i="6"/>
  <c r="BA32" i="6"/>
  <c r="BA51" i="6" s="1"/>
  <c r="BK32" i="6"/>
  <c r="BK51" i="6" s="1"/>
  <c r="BK33" i="6"/>
  <c r="BK34" i="6" s="1"/>
  <c r="X32" i="6"/>
  <c r="X51" i="6" s="1"/>
  <c r="X33" i="6"/>
  <c r="AJ11" i="18"/>
  <c r="AX11" i="18"/>
  <c r="AF11" i="18"/>
  <c r="AQ11" i="18"/>
  <c r="Y11" i="18"/>
  <c r="AV11" i="18"/>
  <c r="AT33" i="6"/>
  <c r="AT32" i="6"/>
  <c r="AT51" i="6" s="1"/>
  <c r="V32" i="6"/>
  <c r="V51" i="6" s="1"/>
  <c r="V33" i="6"/>
  <c r="AT11" i="18"/>
  <c r="AR11" i="18"/>
  <c r="AY33" i="6"/>
  <c r="AY32" i="6"/>
  <c r="AY51" i="6" s="1"/>
  <c r="Z12" i="18"/>
  <c r="AM12" i="18"/>
  <c r="U12" i="18"/>
  <c r="W39" i="6"/>
  <c r="AP38" i="6"/>
  <c r="AP53" i="6" s="1"/>
  <c r="AC10" i="18"/>
  <c r="AF38" i="6"/>
  <c r="AF53" i="6" s="1"/>
  <c r="BG39" i="6"/>
  <c r="AK39" i="6"/>
  <c r="AK40" i="6" s="1"/>
  <c r="AR38" i="6"/>
  <c r="AR53" i="6" s="1"/>
  <c r="AU60" i="6"/>
  <c r="AR36" i="6"/>
  <c r="AR37" i="6" s="1"/>
  <c r="AR35" i="6"/>
  <c r="AR52" i="6" s="1"/>
  <c r="S60" i="6"/>
  <c r="AC35" i="6"/>
  <c r="AC52" i="6" s="1"/>
  <c r="BH60" i="6"/>
  <c r="Z39" i="6"/>
  <c r="AJ33" i="6"/>
  <c r="AJ34" i="6" s="1"/>
  <c r="AJ32" i="6"/>
  <c r="AJ51" i="6" s="1"/>
  <c r="AE32" i="6"/>
  <c r="AE51" i="6" s="1"/>
  <c r="AE33" i="6"/>
  <c r="R11" i="18"/>
  <c r="Z33" i="6"/>
  <c r="Z32" i="6"/>
  <c r="Z51" i="6" s="1"/>
  <c r="AJ12" i="18"/>
  <c r="AQ12" i="18"/>
  <c r="AA10" i="18"/>
  <c r="AN39" i="6"/>
  <c r="AN40" i="6" s="1"/>
  <c r="Y35" i="6"/>
  <c r="Y52" i="6" s="1"/>
  <c r="BH32" i="6"/>
  <c r="BH51" i="6" s="1"/>
  <c r="BH33" i="6"/>
  <c r="BH34" i="6" s="1"/>
  <c r="Y32" i="6"/>
  <c r="Y51" i="6" s="1"/>
  <c r="Y33" i="6"/>
  <c r="AU11" i="18"/>
  <c r="AN32" i="6"/>
  <c r="AN51" i="6" s="1"/>
  <c r="AN33" i="6"/>
  <c r="AM33" i="6"/>
  <c r="AM34" i="6" s="1"/>
  <c r="AM32" i="6"/>
  <c r="AM51" i="6" s="1"/>
  <c r="AV32" i="6"/>
  <c r="AV51" i="6" s="1"/>
  <c r="AV33" i="6"/>
  <c r="AV34" i="6" s="1"/>
  <c r="T32" i="6"/>
  <c r="T51" i="6" s="1"/>
  <c r="T33" i="6"/>
  <c r="AD33" i="6"/>
  <c r="AD34" i="6" s="1"/>
  <c r="AD32" i="6"/>
  <c r="AD51" i="6" s="1"/>
  <c r="AX32" i="6"/>
  <c r="AX51" i="6" s="1"/>
  <c r="AX33" i="6"/>
  <c r="BH39" i="6"/>
  <c r="BC39" i="6"/>
  <c r="BC40" i="6" s="1"/>
  <c r="S39" i="6"/>
  <c r="AD38" i="6"/>
  <c r="AD53" i="6" s="1"/>
  <c r="AC39" i="6"/>
  <c r="AQ38" i="6"/>
  <c r="AQ53" i="6" s="1"/>
  <c r="X38" i="6"/>
  <c r="X53" i="6" s="1"/>
  <c r="X39" i="6"/>
  <c r="AM60" i="6"/>
  <c r="AY36" i="6"/>
  <c r="AY35" i="6"/>
  <c r="AY52" i="6" s="1"/>
  <c r="BL60" i="6"/>
  <c r="BI60" i="6"/>
  <c r="BF36" i="6"/>
  <c r="BF37" i="6" s="1"/>
  <c r="Y36" i="6"/>
  <c r="BJ60" i="6"/>
  <c r="AA38" i="6"/>
  <c r="AA53" i="6" s="1"/>
  <c r="AU32" i="6"/>
  <c r="AU51" i="6" s="1"/>
  <c r="AU33" i="6"/>
  <c r="W11" i="18"/>
  <c r="BL32" i="6"/>
  <c r="BL51" i="6" s="1"/>
  <c r="BL33" i="6"/>
  <c r="AT38" i="6"/>
  <c r="AT53" i="6" s="1"/>
  <c r="AT39" i="6"/>
  <c r="AT40" i="6" s="1"/>
  <c r="AG10" i="18"/>
  <c r="AF32" i="6"/>
  <c r="AF51" i="6" s="1"/>
  <c r="AF33" i="6"/>
  <c r="AG33" i="6"/>
  <c r="AG32" i="6"/>
  <c r="AG51" i="6" s="1"/>
  <c r="BJ33" i="6"/>
  <c r="BJ32" i="6"/>
  <c r="BJ51" i="6" s="1"/>
  <c r="AI33" i="6"/>
  <c r="AI32" i="6"/>
  <c r="AI51" i="6" s="1"/>
  <c r="AA11" i="18"/>
  <c r="T11" i="18"/>
  <c r="Z11" i="18"/>
  <c r="AW11" i="18"/>
  <c r="AI11" i="18"/>
  <c r="V11" i="18"/>
  <c r="AP32" i="6"/>
  <c r="AP51" i="6" s="1"/>
  <c r="AP33" i="6"/>
  <c r="AP34" i="6" s="1"/>
  <c r="U32" i="6"/>
  <c r="U51" i="6" s="1"/>
  <c r="U33" i="6"/>
  <c r="Q11" i="18"/>
  <c r="AK11" i="18"/>
  <c r="AA33" i="6"/>
  <c r="AA32" i="6"/>
  <c r="AA51" i="6" s="1"/>
  <c r="AP12" i="18"/>
  <c r="T12" i="18"/>
  <c r="AH10" i="18"/>
  <c r="AU39" i="6"/>
  <c r="AU40" i="6" s="1"/>
  <c r="T38" i="6"/>
  <c r="T53" i="6" s="1"/>
  <c r="AM39" i="6"/>
  <c r="AM40" i="6" s="1"/>
  <c r="L10" i="18"/>
  <c r="J8" i="22" s="1"/>
  <c r="E7" i="29" s="1"/>
  <c r="Y38" i="6"/>
  <c r="Y53" i="6" s="1"/>
  <c r="AG39" i="6"/>
  <c r="AG40" i="6" s="1"/>
  <c r="Q16" i="18"/>
  <c r="AS60" i="6"/>
  <c r="Z60" i="6"/>
  <c r="U39" i="6"/>
  <c r="V38" i="6"/>
  <c r="V53" i="6" s="1"/>
  <c r="AR39" i="6"/>
  <c r="AN35" i="6"/>
  <c r="AN52" i="6" s="1"/>
  <c r="X35" i="6"/>
  <c r="X52" i="6" s="1"/>
  <c r="AK35" i="6"/>
  <c r="AK52" i="6" s="1"/>
  <c r="AU16" i="18"/>
  <c r="AT36" i="6"/>
  <c r="AT37" i="6" s="1"/>
  <c r="AN36" i="6"/>
  <c r="BG35" i="6"/>
  <c r="BG52" i="6" s="1"/>
  <c r="AQ36" i="6"/>
  <c r="AQ37" i="6" s="1"/>
  <c r="BI39" i="6"/>
  <c r="BI40" i="6" s="1"/>
  <c r="AW16" i="18"/>
  <c r="AQ16" i="18"/>
  <c r="AG36" i="6"/>
  <c r="AG37" i="6" s="1"/>
  <c r="S38" i="6"/>
  <c r="S53" i="6" s="1"/>
  <c r="BF39" i="6"/>
  <c r="BF40" i="6" s="1"/>
  <c r="AZ39" i="6"/>
  <c r="AZ40" i="6" s="1"/>
  <c r="AJ39" i="6"/>
  <c r="AJ40" i="6" s="1"/>
  <c r="AB39" i="6"/>
  <c r="AB40" i="6" s="1"/>
  <c r="AX39" i="6"/>
  <c r="BH35" i="6"/>
  <c r="BH52" i="6" s="1"/>
  <c r="BD36" i="6"/>
  <c r="BD37" i="6" s="1"/>
  <c r="T36" i="6"/>
  <c r="AK36" i="6"/>
  <c r="AA36" i="6"/>
  <c r="BH38" i="6"/>
  <c r="BH53" i="6" s="1"/>
  <c r="Y10" i="18"/>
  <c r="P10" i="18"/>
  <c r="R102" i="22" s="1" a="1"/>
  <c r="R102" i="22" s="1"/>
  <c r="AI38" i="6"/>
  <c r="AI53" i="6" s="1"/>
  <c r="AY38" i="6"/>
  <c r="AY53" i="6" s="1"/>
  <c r="AE10" i="18"/>
  <c r="AF10" i="18"/>
  <c r="BE38" i="6"/>
  <c r="BE53" i="6" s="1"/>
  <c r="AP16" i="18"/>
  <c r="AK16" i="18"/>
  <c r="AT16" i="18"/>
  <c r="V16" i="18"/>
  <c r="BG38" i="6"/>
  <c r="BG53" i="6" s="1"/>
  <c r="AL38" i="6"/>
  <c r="AL53" i="6" s="1"/>
  <c r="AC38" i="6"/>
  <c r="AC53" i="6" s="1"/>
  <c r="R14" i="22" l="1" a="1"/>
  <c r="R14" i="22" s="1"/>
  <c r="R33" i="22" s="1"/>
  <c r="F32" i="29" s="1"/>
  <c r="M32" i="29" s="1"/>
  <c r="AY37" i="6"/>
  <c r="AE34" i="6"/>
  <c r="AB34" i="6"/>
  <c r="AS40" i="6"/>
  <c r="AW37" i="6"/>
  <c r="BB34" i="6"/>
  <c r="BG37" i="6"/>
  <c r="AZ37" i="6"/>
  <c r="AF40" i="6"/>
  <c r="AT34" i="6"/>
  <c r="AX40" i="6"/>
  <c r="AI34" i="6"/>
  <c r="S37" i="6"/>
  <c r="AO37" i="6"/>
  <c r="AR40" i="6"/>
  <c r="F13" i="29"/>
  <c r="M13" i="29" s="1"/>
  <c r="R45" i="22" a="1"/>
  <c r="R45" i="22" s="1"/>
  <c r="R36" i="22" a="1"/>
  <c r="R36" i="22" s="1"/>
  <c r="R95" i="22" a="1"/>
  <c r="R95" i="22" s="1"/>
  <c r="R30" i="22" a="1"/>
  <c r="R30" i="22" s="1"/>
  <c r="R100" i="22" a="1"/>
  <c r="R100" i="22" s="1"/>
  <c r="R19" i="22" a="1"/>
  <c r="R19" i="22" s="1"/>
  <c r="R79" i="22" a="1"/>
  <c r="R79" i="22" s="1"/>
  <c r="R20" i="22" a="1"/>
  <c r="R20" i="22" s="1"/>
  <c r="R27" i="22" a="1"/>
  <c r="R27" i="22" s="1"/>
  <c r="R96" i="22" a="1"/>
  <c r="R96" i="22" s="1"/>
  <c r="R15" i="22" a="1"/>
  <c r="R15" i="22" s="1"/>
  <c r="R51" i="22" a="1"/>
  <c r="R51" i="22" s="1"/>
  <c r="R86" i="22" a="1"/>
  <c r="R86" i="22" s="1"/>
  <c r="R54" i="22" a="1"/>
  <c r="R54" i="22" s="1"/>
  <c r="R56" i="22" a="1"/>
  <c r="R56" i="22" s="1"/>
  <c r="R71" i="22" a="1"/>
  <c r="R71" i="22" s="1"/>
  <c r="R98" i="22" a="1"/>
  <c r="R98" i="22" s="1"/>
  <c r="R89" i="22" a="1"/>
  <c r="R89" i="22" s="1"/>
  <c r="R42" i="22" a="1"/>
  <c r="R42" i="22" s="1"/>
  <c r="R66" i="22" a="1"/>
  <c r="R66" i="22" s="1"/>
  <c r="R55" i="22" a="1"/>
  <c r="R55" i="22" s="1"/>
  <c r="R52" i="22" a="1"/>
  <c r="R52" i="22" s="1"/>
  <c r="R39" i="22" a="1"/>
  <c r="R39" i="22" s="1"/>
  <c r="R59" i="22" a="1"/>
  <c r="R59" i="22" s="1"/>
  <c r="R74" i="22" a="1"/>
  <c r="R74" i="22" s="1"/>
  <c r="R22" i="22" a="1"/>
  <c r="R22" i="22" s="1"/>
  <c r="R72" i="22" a="1"/>
  <c r="R72" i="22" s="1"/>
  <c r="R24" i="22" a="1"/>
  <c r="R24" i="22" s="1"/>
  <c r="R61" i="22" a="1"/>
  <c r="R61" i="22" s="1"/>
  <c r="R47" i="22" a="1"/>
  <c r="R47" i="22" s="1"/>
  <c r="N7" i="29"/>
  <c r="O7" i="29" s="1"/>
  <c r="J7" i="29"/>
  <c r="R28" i="22" a="1"/>
  <c r="R28" i="22" s="1"/>
  <c r="R29" i="22" a="1"/>
  <c r="R29" i="22" s="1"/>
  <c r="R26" i="22" a="1"/>
  <c r="R26" i="22" s="1"/>
  <c r="R44" i="22" a="1"/>
  <c r="R44" i="22" s="1"/>
  <c r="R35" i="22" a="1"/>
  <c r="R35" i="22" s="1"/>
  <c r="R41" i="22" a="1"/>
  <c r="R41" i="22" s="1"/>
  <c r="R65" i="22" a="1"/>
  <c r="R65" i="22" s="1"/>
  <c r="R67" i="22" a="1"/>
  <c r="R67" i="22" s="1"/>
  <c r="R64" i="22" a="1"/>
  <c r="R64" i="22" s="1"/>
  <c r="R92" i="22" a="1"/>
  <c r="R92" i="22" s="1"/>
  <c r="R101" i="22" a="1"/>
  <c r="R101" i="22" s="1"/>
  <c r="R31" i="22" a="1"/>
  <c r="R31" i="22" s="1"/>
  <c r="R83" i="22" a="1"/>
  <c r="R83" i="22" s="1"/>
  <c r="R93" i="22" a="1"/>
  <c r="R93" i="22" s="1"/>
  <c r="R23" i="22" a="1"/>
  <c r="R23" i="22" s="1"/>
  <c r="R34" i="22" a="1"/>
  <c r="R34" i="22" s="1"/>
  <c r="R68" i="22" a="1"/>
  <c r="R68" i="22" s="1"/>
  <c r="R38" i="22" a="1"/>
  <c r="R38" i="22" s="1"/>
  <c r="R12" i="22" a="1"/>
  <c r="R12" i="22" s="1"/>
  <c r="R76" i="22" a="1"/>
  <c r="R76" i="22" s="1"/>
  <c r="R48" i="22" a="1"/>
  <c r="R48" i="22" s="1"/>
  <c r="R13" i="22" a="1"/>
  <c r="R13" i="22" s="1"/>
  <c r="R16" i="22" a="1"/>
  <c r="R16" i="22" s="1"/>
  <c r="R75" i="22" a="1"/>
  <c r="R75" i="22" s="1"/>
  <c r="R82" i="22" a="1"/>
  <c r="R82" i="22" s="1"/>
  <c r="R25" i="22" a="1"/>
  <c r="R25" i="22" s="1"/>
  <c r="R21" i="22" a="1"/>
  <c r="R21" i="22" s="1"/>
  <c r="R94" i="22" a="1"/>
  <c r="R94" i="22" s="1"/>
  <c r="R62" i="22" a="1"/>
  <c r="R62" i="22" s="1"/>
  <c r="R57" i="22" a="1"/>
  <c r="R57" i="22" s="1"/>
  <c r="R99" i="22" a="1"/>
  <c r="R99" i="22" s="1"/>
  <c r="R78" i="22" a="1"/>
  <c r="R78" i="22" s="1"/>
  <c r="R80" i="22" a="1"/>
  <c r="R80" i="22" s="1"/>
  <c r="R60" i="22" a="1"/>
  <c r="R60" i="22" s="1"/>
  <c r="R46" i="22" a="1"/>
  <c r="R46" i="22" s="1"/>
  <c r="R63" i="22" a="1"/>
  <c r="R63" i="22" s="1"/>
  <c r="R73" i="22" a="1"/>
  <c r="R73" i="22" s="1"/>
  <c r="R70" i="22" a="1"/>
  <c r="R70" i="22" s="1"/>
  <c r="R69" i="22" a="1"/>
  <c r="R69" i="22" s="1"/>
  <c r="R77" i="22" a="1"/>
  <c r="R77" i="22" s="1"/>
  <c r="R84" i="22" a="1"/>
  <c r="R84" i="22" s="1"/>
  <c r="R85" i="22" a="1"/>
  <c r="R85" i="22" s="1"/>
  <c r="R81" i="22" a="1"/>
  <c r="R81" i="22" s="1"/>
  <c r="R40" i="22" a="1"/>
  <c r="R40" i="22" s="1"/>
  <c r="R87" i="22" a="1"/>
  <c r="R87" i="22" s="1"/>
  <c r="R49" i="22" a="1"/>
  <c r="R49" i="22" s="1"/>
  <c r="R97" i="22" a="1"/>
  <c r="R97" i="22" s="1"/>
  <c r="R18" i="22" a="1"/>
  <c r="R18" i="22" s="1"/>
  <c r="R53" i="22" a="1"/>
  <c r="R53" i="22" s="1"/>
  <c r="R50" i="22" a="1"/>
  <c r="R50" i="22" s="1"/>
  <c r="R43" i="22" a="1"/>
  <c r="R43" i="22" s="1"/>
  <c r="R37" i="22" a="1"/>
  <c r="R37" i="22" s="1"/>
  <c r="R91" i="22" a="1"/>
  <c r="R91" i="22" s="1"/>
  <c r="R88" i="22" a="1"/>
  <c r="R88" i="22" s="1"/>
  <c r="R90" i="22" a="1"/>
  <c r="R90" i="22" s="1"/>
  <c r="R58" i="22" a="1"/>
  <c r="R58" i="22" s="1"/>
  <c r="P33" i="22"/>
  <c r="G32" i="29" s="1"/>
  <c r="G13" i="29"/>
  <c r="K13" i="29" s="1"/>
  <c r="V66" i="22" a="1"/>
  <c r="V66" i="22" s="1"/>
  <c r="K45" i="22" a="1"/>
  <c r="K45" i="22" s="1"/>
  <c r="J14" i="22"/>
  <c r="N84" i="22" a="1"/>
  <c r="N84" i="22" s="1"/>
  <c r="J29" i="22" a="1"/>
  <c r="J29" i="22" s="1"/>
  <c r="J94" i="22" a="1"/>
  <c r="J94" i="22" s="1"/>
  <c r="U60" i="22" a="1"/>
  <c r="U60" i="22" s="1"/>
  <c r="T50" i="22" a="1"/>
  <c r="T50" i="22" s="1"/>
  <c r="K36" i="22" a="1"/>
  <c r="K36" i="22" s="1"/>
  <c r="K13" i="22" a="1"/>
  <c r="K13" i="22" s="1"/>
  <c r="K48" i="22" a="1"/>
  <c r="K48" i="22" s="1"/>
  <c r="E13" i="22" a="1"/>
  <c r="E13" i="22" s="1"/>
  <c r="Z66" i="22" a="1"/>
  <c r="Z66" i="22" s="1"/>
  <c r="F65" i="29" s="1"/>
  <c r="N27" i="22" a="1"/>
  <c r="N27" i="22" s="1"/>
  <c r="O36" i="22" a="1"/>
  <c r="O36" i="22" s="1"/>
  <c r="N30" i="22" a="1"/>
  <c r="N30" i="22" s="1"/>
  <c r="M24" i="22" a="1"/>
  <c r="M24" i="22" s="1"/>
  <c r="K41" i="22" a="1"/>
  <c r="K41" i="22" s="1"/>
  <c r="E82" i="22" a="1"/>
  <c r="E82" i="22" s="1"/>
  <c r="Y18" i="22" a="1"/>
  <c r="Y18" i="22" s="1"/>
  <c r="F34" i="22" a="1"/>
  <c r="F34" i="22" s="1"/>
  <c r="H50" i="22" a="1"/>
  <c r="H50" i="22" s="1"/>
  <c r="Z47" i="22" a="1"/>
  <c r="Z47" i="22" s="1"/>
  <c r="E66" i="22" a="1"/>
  <c r="E66" i="22" s="1"/>
  <c r="E31" i="22" a="1"/>
  <c r="E31" i="22" s="1"/>
  <c r="I36" i="22" a="1"/>
  <c r="I36" i="22" s="1"/>
  <c r="P51" i="22" a="1"/>
  <c r="P51" i="22" s="1"/>
  <c r="J18" i="22" a="1"/>
  <c r="J18" i="22" s="1"/>
  <c r="X24" i="22" a="1"/>
  <c r="X24" i="22" s="1"/>
  <c r="O31" i="22" a="1"/>
  <c r="O31" i="22" s="1"/>
  <c r="W64" i="22" a="1"/>
  <c r="W64" i="22" s="1"/>
  <c r="P28" i="22" a="1"/>
  <c r="P28" i="22" s="1"/>
  <c r="N25" i="22" a="1"/>
  <c r="N25" i="22" s="1"/>
  <c r="Q66" i="22" a="1"/>
  <c r="Q66" i="22" s="1"/>
  <c r="V20" i="22" a="1"/>
  <c r="V20" i="22" s="1"/>
  <c r="Y31" i="22" a="1"/>
  <c r="Y31" i="22" s="1"/>
  <c r="X18" i="22" a="1"/>
  <c r="X18" i="22" s="1"/>
  <c r="E18" i="22" a="1"/>
  <c r="E18" i="22" s="1"/>
  <c r="L47" i="22" a="1"/>
  <c r="L47" i="22" s="1"/>
  <c r="W41" i="22" a="1"/>
  <c r="W41" i="22" s="1"/>
  <c r="T13" i="22" a="1"/>
  <c r="T13" i="22" s="1"/>
  <c r="L59" i="22" a="1"/>
  <c r="L59" i="22" s="1"/>
  <c r="V53" i="22" a="1"/>
  <c r="V53" i="22" s="1"/>
  <c r="U79" i="22" a="1"/>
  <c r="U79" i="22" s="1"/>
  <c r="G76" i="22" a="1"/>
  <c r="G76" i="22" s="1"/>
  <c r="Y46" i="22" a="1"/>
  <c r="Y46" i="22" s="1"/>
  <c r="K20" i="22" a="1"/>
  <c r="K20" i="22" s="1"/>
  <c r="J38" i="22" a="1"/>
  <c r="J38" i="22" s="1"/>
  <c r="W57" i="22" a="1"/>
  <c r="W57" i="22" s="1"/>
  <c r="T40" i="22" a="1"/>
  <c r="T40" i="22" s="1"/>
  <c r="S18" i="22" a="1"/>
  <c r="S18" i="22" s="1"/>
  <c r="M51" i="22" a="1"/>
  <c r="M51" i="22" s="1"/>
  <c r="Q31" i="22" a="1"/>
  <c r="Q31" i="22" s="1"/>
  <c r="O30" i="22" a="1"/>
  <c r="O30" i="22" s="1"/>
  <c r="I37" i="22" a="1"/>
  <c r="I37" i="22" s="1"/>
  <c r="E19" i="22" a="1"/>
  <c r="E19" i="22" s="1"/>
  <c r="K18" i="22" a="1"/>
  <c r="K18" i="22" s="1"/>
  <c r="T37" i="22" a="1"/>
  <c r="T37" i="22" s="1"/>
  <c r="J79" i="22" a="1"/>
  <c r="J79" i="22" s="1"/>
  <c r="L26" i="22" a="1"/>
  <c r="L26" i="22" s="1"/>
  <c r="J23" i="22" a="1"/>
  <c r="J23" i="22" s="1"/>
  <c r="H27" i="22" a="1"/>
  <c r="H27" i="22" s="1"/>
  <c r="L30" i="22" a="1"/>
  <c r="L30" i="22" s="1"/>
  <c r="S70" i="22" a="1"/>
  <c r="S70" i="22" s="1"/>
  <c r="M30" i="22" a="1"/>
  <c r="M30" i="22" s="1"/>
  <c r="T29" i="22" a="1"/>
  <c r="T29" i="22" s="1"/>
  <c r="N22" i="22" a="1"/>
  <c r="N22" i="22" s="1"/>
  <c r="S29" i="22" a="1"/>
  <c r="S29" i="22" s="1"/>
  <c r="G42" i="22" a="1"/>
  <c r="G42" i="22" s="1"/>
  <c r="Y29" i="22" a="1"/>
  <c r="Y29" i="22" s="1"/>
  <c r="P31" i="22" a="1"/>
  <c r="P31" i="22" s="1"/>
  <c r="F25" i="22" a="1"/>
  <c r="F25" i="22" s="1"/>
  <c r="U68" i="22" a="1"/>
  <c r="U68" i="22" s="1"/>
  <c r="P64" i="22" a="1"/>
  <c r="P64" i="22" s="1"/>
  <c r="L15" i="22" a="1"/>
  <c r="L15" i="22" s="1"/>
  <c r="V22" i="22" a="1"/>
  <c r="V22" i="22" s="1"/>
  <c r="I21" i="22" a="1"/>
  <c r="I21" i="22" s="1"/>
  <c r="P25" i="22" a="1"/>
  <c r="P25" i="22" s="1"/>
  <c r="W20" i="22" a="1"/>
  <c r="W20" i="22" s="1"/>
  <c r="H57" i="22" a="1"/>
  <c r="H57" i="22" s="1"/>
  <c r="O15" i="22" a="1"/>
  <c r="O15" i="22" s="1"/>
  <c r="U89" i="22" a="1"/>
  <c r="U89" i="22" s="1"/>
  <c r="X13" i="22" a="1"/>
  <c r="X13" i="22" s="1"/>
  <c r="Y56" i="22" a="1"/>
  <c r="Y56" i="22" s="1"/>
  <c r="H16" i="22" a="1"/>
  <c r="H16" i="22" s="1"/>
  <c r="Y48" i="22" a="1"/>
  <c r="Y48" i="22" s="1"/>
  <c r="Z37" i="22" a="1"/>
  <c r="Z37" i="22" s="1"/>
  <c r="F36" i="29" s="1"/>
  <c r="O68" i="22" a="1"/>
  <c r="O68" i="22" s="1"/>
  <c r="Q72" i="22" a="1"/>
  <c r="Q72" i="22" s="1"/>
  <c r="P73" i="22" a="1"/>
  <c r="P73" i="22" s="1"/>
  <c r="Y47" i="22" a="1"/>
  <c r="Y47" i="22" s="1"/>
  <c r="W59" i="22" a="1"/>
  <c r="W59" i="22" s="1"/>
  <c r="N65" i="22" a="1"/>
  <c r="N65" i="22" s="1"/>
  <c r="F30" i="22" a="1"/>
  <c r="F30" i="22" s="1"/>
  <c r="L40" i="22" a="1"/>
  <c r="L40" i="22" s="1"/>
  <c r="T21" i="22" a="1"/>
  <c r="T21" i="22" s="1"/>
  <c r="E88" i="22" a="1"/>
  <c r="E88" i="22" s="1"/>
  <c r="Y81" i="22" a="1"/>
  <c r="Y81" i="22" s="1"/>
  <c r="W26" i="22" a="1"/>
  <c r="W26" i="22" s="1"/>
  <c r="M55" i="22" a="1"/>
  <c r="M55" i="22" s="1"/>
  <c r="W34" i="22" a="1"/>
  <c r="W34" i="22" s="1"/>
  <c r="G22" i="22" a="1"/>
  <c r="G22" i="22" s="1"/>
  <c r="X60" i="22" a="1"/>
  <c r="X60" i="22" s="1"/>
  <c r="S25" i="22" a="1"/>
  <c r="S25" i="22" s="1"/>
  <c r="H22" i="22" a="1"/>
  <c r="H22" i="22" s="1"/>
  <c r="H41" i="22" a="1"/>
  <c r="H41" i="22" s="1"/>
  <c r="Q47" i="22" a="1"/>
  <c r="Q47" i="22" s="1"/>
  <c r="P41" i="22" a="1"/>
  <c r="P41" i="22" s="1"/>
  <c r="I85" i="22" a="1"/>
  <c r="I85" i="22" s="1"/>
  <c r="Y28" i="22" a="1"/>
  <c r="Y28" i="22" s="1"/>
  <c r="J34" i="22" a="1"/>
  <c r="J34" i="22" s="1"/>
  <c r="F78" i="22" a="1"/>
  <c r="F78" i="22" s="1"/>
  <c r="V42" i="22" a="1"/>
  <c r="V42" i="22" s="1"/>
  <c r="W42" i="22" a="1"/>
  <c r="W42" i="22" s="1"/>
  <c r="F31" i="22" a="1"/>
  <c r="F31" i="22" s="1"/>
  <c r="I30" i="22" a="1"/>
  <c r="I30" i="22" s="1"/>
  <c r="N15" i="22" a="1"/>
  <c r="N15" i="22" s="1"/>
  <c r="E48" i="22" a="1"/>
  <c r="E48" i="22" s="1"/>
  <c r="F32" i="22" a="1"/>
  <c r="F32" i="22" s="1"/>
  <c r="N20" i="22" a="1"/>
  <c r="N20" i="22" s="1"/>
  <c r="E56" i="22" a="1"/>
  <c r="E56" i="22" s="1"/>
  <c r="T16" i="22" a="1"/>
  <c r="T16" i="22" s="1"/>
  <c r="G24" i="22" a="1"/>
  <c r="G24" i="22" s="1"/>
  <c r="K23" i="22" a="1"/>
  <c r="K23" i="22" s="1"/>
  <c r="Y25" i="22" a="1"/>
  <c r="Y25" i="22" s="1"/>
  <c r="J55" i="22" a="1"/>
  <c r="J55" i="22" s="1"/>
  <c r="T43" i="22" a="1"/>
  <c r="T43" i="22" s="1"/>
  <c r="S28" i="22" a="1"/>
  <c r="S28" i="22" s="1"/>
  <c r="Z34" i="22" a="1"/>
  <c r="Z34" i="22" s="1"/>
  <c r="F33" i="29" s="1"/>
  <c r="E41" i="22" a="1"/>
  <c r="E41" i="22" s="1"/>
  <c r="P67" i="22" a="1"/>
  <c r="P67" i="22" s="1"/>
  <c r="W50" i="22" a="1"/>
  <c r="W50" i="22" s="1"/>
  <c r="W30" i="22" a="1"/>
  <c r="W30" i="22" s="1"/>
  <c r="P57" i="22" a="1"/>
  <c r="P57" i="22" s="1"/>
  <c r="G60" i="22" a="1"/>
  <c r="G60" i="22" s="1"/>
  <c r="K52" i="22" a="1"/>
  <c r="K52" i="22" s="1"/>
  <c r="I50" i="22" a="1"/>
  <c r="I50" i="22" s="1"/>
  <c r="H62" i="22" a="1"/>
  <c r="H62" i="22" s="1"/>
  <c r="X21" i="22" a="1"/>
  <c r="X21" i="22" s="1"/>
  <c r="S42" i="22" a="1"/>
  <c r="S42" i="22" s="1"/>
  <c r="O70" i="22" a="1"/>
  <c r="O70" i="22" s="1"/>
  <c r="V82" i="22" a="1"/>
  <c r="V82" i="22" s="1"/>
  <c r="O96" i="22" a="1"/>
  <c r="O96" i="22" s="1"/>
  <c r="V36" i="22" a="1"/>
  <c r="V36" i="22" s="1"/>
  <c r="K31" i="22" a="1"/>
  <c r="K31" i="22" s="1"/>
  <c r="U95" i="22" a="1"/>
  <c r="U95" i="22" s="1"/>
  <c r="K32" i="22" a="1"/>
  <c r="K32" i="22" s="1"/>
  <c r="L37" i="22" a="1"/>
  <c r="L37" i="22" s="1"/>
  <c r="N51" i="22" a="1"/>
  <c r="N51" i="22" s="1"/>
  <c r="U92" i="22" a="1"/>
  <c r="U92" i="22" s="1"/>
  <c r="H25" i="22" a="1"/>
  <c r="H25" i="22" s="1"/>
  <c r="T58" i="22" a="1"/>
  <c r="T58" i="22" s="1"/>
  <c r="T92" i="22" a="1"/>
  <c r="T92" i="22" s="1"/>
  <c r="G62" i="22" a="1"/>
  <c r="G62" i="22" s="1"/>
  <c r="I43" i="22" a="1"/>
  <c r="I43" i="22" s="1"/>
  <c r="G36" i="22" a="1"/>
  <c r="G36" i="22" s="1"/>
  <c r="I39" i="22" a="1"/>
  <c r="I39" i="22" s="1"/>
  <c r="M21" i="22" a="1"/>
  <c r="M21" i="22" s="1"/>
  <c r="W49" i="22" a="1"/>
  <c r="W49" i="22" s="1"/>
  <c r="P77" i="22" a="1"/>
  <c r="P77" i="22" s="1"/>
  <c r="E47" i="22" a="1"/>
  <c r="E47" i="22" s="1"/>
  <c r="O29" i="22" a="1"/>
  <c r="O29" i="22" s="1"/>
  <c r="X27" i="22" a="1"/>
  <c r="X27" i="22" s="1"/>
  <c r="L66" i="22" a="1"/>
  <c r="L66" i="22" s="1"/>
  <c r="M53" i="22" a="1"/>
  <c r="M53" i="22" s="1"/>
  <c r="V30" i="22" a="1"/>
  <c r="V30" i="22" s="1"/>
  <c r="Z49" i="22" a="1"/>
  <c r="Z49" i="22" s="1"/>
  <c r="J45" i="22" a="1"/>
  <c r="J45" i="22" s="1"/>
  <c r="S96" i="22" a="1"/>
  <c r="S96" i="22" s="1"/>
  <c r="X59" i="22" a="1"/>
  <c r="X59" i="22" s="1"/>
  <c r="G98" i="22" a="1"/>
  <c r="G98" i="22" s="1"/>
  <c r="X72" i="22" a="1"/>
  <c r="X72" i="22" s="1"/>
  <c r="K40" i="22" a="1"/>
  <c r="K40" i="22" s="1"/>
  <c r="P40" i="22" a="1"/>
  <c r="P40" i="22" s="1"/>
  <c r="H42" i="22" a="1"/>
  <c r="H42" i="22" s="1"/>
  <c r="W22" i="22" a="1"/>
  <c r="W22" i="22" s="1"/>
  <c r="Z31" i="22" a="1"/>
  <c r="Z31" i="22" s="1"/>
  <c r="F30" i="29" s="1"/>
  <c r="X62" i="22" a="1"/>
  <c r="X62" i="22" s="1"/>
  <c r="O25" i="22" a="1"/>
  <c r="O25" i="22" s="1"/>
  <c r="S99" i="22" a="1"/>
  <c r="S99" i="22" s="1"/>
  <c r="P49" i="22" a="1"/>
  <c r="P49" i="22" s="1"/>
  <c r="F56" i="22" a="1"/>
  <c r="F56" i="22" s="1"/>
  <c r="U23" i="22" a="1"/>
  <c r="U23" i="22" s="1"/>
  <c r="S60" i="22" a="1"/>
  <c r="S60" i="22" s="1"/>
  <c r="Z39" i="22" a="1"/>
  <c r="Z39" i="22" s="1"/>
  <c r="F38" i="29" s="1"/>
  <c r="F16" i="22" a="1"/>
  <c r="F16" i="22" s="1"/>
  <c r="J97" i="22" a="1"/>
  <c r="J97" i="22" s="1"/>
  <c r="X101" i="22" a="1"/>
  <c r="X101" i="22" s="1"/>
  <c r="F21" i="22" a="1"/>
  <c r="F21" i="22" s="1"/>
  <c r="E43" i="22" a="1"/>
  <c r="E43" i="22" s="1"/>
  <c r="I65" i="22" a="1"/>
  <c r="I65" i="22" s="1"/>
  <c r="J65" i="22" a="1"/>
  <c r="J65" i="22" s="1"/>
  <c r="M60" i="22" a="1"/>
  <c r="M60" i="22" s="1"/>
  <c r="T19" i="22" a="1"/>
  <c r="T19" i="22" s="1"/>
  <c r="X41" i="22" a="1"/>
  <c r="X41" i="22" s="1"/>
  <c r="V79" i="22" a="1"/>
  <c r="V79" i="22" s="1"/>
  <c r="O34" i="22" a="1"/>
  <c r="O34" i="22" s="1"/>
  <c r="W44" i="22" a="1"/>
  <c r="W44" i="22" s="1"/>
  <c r="X69" i="22" a="1"/>
  <c r="X69" i="22" s="1"/>
  <c r="H38" i="22" a="1"/>
  <c r="H38" i="22" s="1"/>
  <c r="S32" i="22" a="1"/>
  <c r="S32" i="22" s="1"/>
  <c r="G39" i="22" a="1"/>
  <c r="G39" i="22" s="1"/>
  <c r="G100" i="22" a="1"/>
  <c r="G100" i="22" s="1"/>
  <c r="Q96" i="22" a="1"/>
  <c r="Q96" i="22" s="1"/>
  <c r="F28" i="22" a="1"/>
  <c r="F28" i="22" s="1"/>
  <c r="N59" i="22" a="1"/>
  <c r="N59" i="22" s="1"/>
  <c r="G53" i="22" a="1"/>
  <c r="G53" i="22" s="1"/>
  <c r="K55" i="22" a="1"/>
  <c r="K55" i="22" s="1"/>
  <c r="U39" i="22" a="1"/>
  <c r="U39" i="22" s="1"/>
  <c r="X44" i="22" a="1"/>
  <c r="X44" i="22" s="1"/>
  <c r="Z65" i="22" a="1"/>
  <c r="Z65" i="22" s="1"/>
  <c r="F64" i="29" s="1"/>
  <c r="Y24" i="22" a="1"/>
  <c r="Y24" i="22" s="1"/>
  <c r="U42" i="22" a="1"/>
  <c r="U42" i="22" s="1"/>
  <c r="L14" i="22"/>
  <c r="L33" i="22" s="1"/>
  <c r="O40" i="22" a="1"/>
  <c r="O40" i="22" s="1"/>
  <c r="Y36" i="22" a="1"/>
  <c r="Y36" i="22" s="1"/>
  <c r="P20" i="22" a="1"/>
  <c r="P20" i="22" s="1"/>
  <c r="F41" i="22" a="1"/>
  <c r="F41" i="22" s="1"/>
  <c r="G40" i="29" s="1"/>
  <c r="F35" i="22" a="1"/>
  <c r="F35" i="22" s="1"/>
  <c r="Z18" i="22" a="1"/>
  <c r="Z18" i="22" s="1"/>
  <c r="F17" i="29" s="1"/>
  <c r="N47" i="22" a="1"/>
  <c r="N47" i="22" s="1"/>
  <c r="U45" i="22" a="1"/>
  <c r="U45" i="22" s="1"/>
  <c r="J66" i="22" a="1"/>
  <c r="J66" i="22" s="1"/>
  <c r="P81" i="22" a="1"/>
  <c r="P81" i="22" s="1"/>
  <c r="T15" i="22" a="1"/>
  <c r="T15" i="22" s="1"/>
  <c r="M34" i="22" a="1"/>
  <c r="M34" i="22" s="1"/>
  <c r="I31" i="22" a="1"/>
  <c r="I31" i="22" s="1"/>
  <c r="G49" i="22" a="1"/>
  <c r="G49" i="22" s="1"/>
  <c r="V95" i="22" a="1"/>
  <c r="V95" i="22" s="1"/>
  <c r="Z62" i="22" a="1"/>
  <c r="Z62" i="22" s="1"/>
  <c r="F61" i="29" s="1"/>
  <c r="F19" i="22" a="1"/>
  <c r="F19" i="22" s="1"/>
  <c r="V51" i="22" a="1"/>
  <c r="V51" i="22" s="1"/>
  <c r="I26" i="22" a="1"/>
  <c r="I26" i="22" s="1"/>
  <c r="L28" i="22" a="1"/>
  <c r="L28" i="22" s="1"/>
  <c r="O48" i="22" a="1"/>
  <c r="O48" i="22" s="1"/>
  <c r="G56" i="22" a="1"/>
  <c r="G56" i="22" s="1"/>
  <c r="H94" i="22" a="1"/>
  <c r="H94" i="22" s="1"/>
  <c r="M20" i="22" a="1"/>
  <c r="M20" i="22" s="1"/>
  <c r="L20" i="22" a="1"/>
  <c r="L20" i="22" s="1"/>
  <c r="H30" i="22" a="1"/>
  <c r="H30" i="22" s="1"/>
  <c r="W31" i="22" a="1"/>
  <c r="W31" i="22" s="1"/>
  <c r="H75" i="22" a="1"/>
  <c r="H75" i="22" s="1"/>
  <c r="S15" i="22" a="1"/>
  <c r="S15" i="22" s="1"/>
  <c r="U51" i="22" a="1"/>
  <c r="U51" i="22" s="1"/>
  <c r="O39" i="22" a="1"/>
  <c r="O39" i="22" s="1"/>
  <c r="U86" i="22" a="1"/>
  <c r="U86" i="22" s="1"/>
  <c r="V73" i="22" a="1"/>
  <c r="V73" i="22" s="1"/>
  <c r="N24" i="22" a="1"/>
  <c r="N24" i="22" s="1"/>
  <c r="O32" i="22" a="1"/>
  <c r="O32" i="22" s="1"/>
  <c r="Z83" i="22" a="1"/>
  <c r="Z83" i="22" s="1"/>
  <c r="F82" i="29" s="1"/>
  <c r="E39" i="22" a="1"/>
  <c r="E39" i="22" s="1"/>
  <c r="S43" i="22" a="1"/>
  <c r="S43" i="22" s="1"/>
  <c r="L29" i="22" a="1"/>
  <c r="L29" i="22" s="1"/>
  <c r="W13" i="22" a="1"/>
  <c r="W13" i="22" s="1"/>
  <c r="Y39" i="22" a="1"/>
  <c r="Y39" i="22" s="1"/>
  <c r="I41" i="22" a="1"/>
  <c r="I41" i="22" s="1"/>
  <c r="N32" i="22" a="1"/>
  <c r="N32" i="22" s="1"/>
  <c r="J41" i="22" a="1"/>
  <c r="J41" i="22" s="1"/>
  <c r="W15" i="22" a="1"/>
  <c r="W15" i="22" s="1"/>
  <c r="M28" i="22" a="1"/>
  <c r="M28" i="22" s="1"/>
  <c r="O43" i="22" a="1"/>
  <c r="O43" i="22" s="1"/>
  <c r="F46" i="22" a="1"/>
  <c r="F46" i="22" s="1"/>
  <c r="F58" i="22" a="1"/>
  <c r="F58" i="22" s="1"/>
  <c r="G31" i="22" a="1"/>
  <c r="G31" i="22" s="1"/>
  <c r="V28" i="22" a="1"/>
  <c r="V28" i="22" s="1"/>
  <c r="M26" i="22" a="1"/>
  <c r="M26" i="22" s="1"/>
  <c r="K50" i="22" a="1"/>
  <c r="K50" i="22" s="1"/>
  <c r="K49" i="22" a="1"/>
  <c r="K49" i="22" s="1"/>
  <c r="S50" i="22" a="1"/>
  <c r="S50" i="22" s="1"/>
  <c r="E34" i="22" a="1"/>
  <c r="E34" i="22" s="1"/>
  <c r="E22" i="22" a="1"/>
  <c r="E22" i="22" s="1"/>
  <c r="P47" i="22" a="1"/>
  <c r="P47" i="22" s="1"/>
  <c r="I62" i="22" a="1"/>
  <c r="I62" i="22" s="1"/>
  <c r="T54" i="22" a="1"/>
  <c r="T54" i="22" s="1"/>
  <c r="Q19" i="22" a="1"/>
  <c r="Q19" i="22" s="1"/>
  <c r="K21" i="22" a="1"/>
  <c r="K21" i="22" s="1"/>
  <c r="K100" i="22" a="1"/>
  <c r="K100" i="22" s="1"/>
  <c r="F27" i="22" a="1"/>
  <c r="F27" i="22" s="1"/>
  <c r="Z23" i="22" a="1"/>
  <c r="Z23" i="22" s="1"/>
  <c r="F22" i="29" s="1"/>
  <c r="F51" i="22" a="1"/>
  <c r="F51" i="22" s="1"/>
  <c r="P30" i="22" a="1"/>
  <c r="P30" i="22" s="1"/>
  <c r="S24" i="22" a="1"/>
  <c r="S24" i="22" s="1"/>
  <c r="F24" i="22" a="1"/>
  <c r="F24" i="22" s="1"/>
  <c r="V87" i="22" a="1"/>
  <c r="V87" i="22" s="1"/>
  <c r="O52" i="22" a="1"/>
  <c r="O52" i="22" s="1"/>
  <c r="E29" i="22" a="1"/>
  <c r="E29" i="22" s="1"/>
  <c r="W79" i="22" a="1"/>
  <c r="W79" i="22" s="1"/>
  <c r="W98" i="22" a="1"/>
  <c r="W98" i="22" s="1"/>
  <c r="X26" i="22" a="1"/>
  <c r="X26" i="22" s="1"/>
  <c r="P70" i="22" a="1"/>
  <c r="P70" i="22" s="1"/>
  <c r="I24" i="22" a="1"/>
  <c r="I24" i="22" s="1"/>
  <c r="M37" i="22" a="1"/>
  <c r="M37" i="22" s="1"/>
  <c r="J27" i="22" a="1"/>
  <c r="J27" i="22" s="1"/>
  <c r="N16" i="22" a="1"/>
  <c r="N16" i="22" s="1"/>
  <c r="J46" i="22" a="1"/>
  <c r="J46" i="22" s="1"/>
  <c r="N23" i="22" a="1"/>
  <c r="N23" i="22" s="1"/>
  <c r="X78" i="22" a="1"/>
  <c r="X78" i="22" s="1"/>
  <c r="X20" i="22" a="1"/>
  <c r="X20" i="22" s="1"/>
  <c r="M15" i="22" a="1"/>
  <c r="M15" i="22" s="1"/>
  <c r="T23" i="22" a="1"/>
  <c r="T23" i="22" s="1"/>
  <c r="V46" i="22" a="1"/>
  <c r="V46" i="22" s="1"/>
  <c r="F36" i="22" a="1"/>
  <c r="F36" i="22" s="1"/>
  <c r="H39" i="22" a="1"/>
  <c r="H39" i="22" s="1"/>
  <c r="K15" i="22" a="1"/>
  <c r="K15" i="22" s="1"/>
  <c r="Z28" i="22" a="1"/>
  <c r="Z28" i="22" s="1"/>
  <c r="F27" i="29" s="1"/>
  <c r="T26" i="22" a="1"/>
  <c r="T26" i="22" s="1"/>
  <c r="H49" i="22" a="1"/>
  <c r="H49" i="22" s="1"/>
  <c r="L41" i="22" a="1"/>
  <c r="L41" i="22" s="1"/>
  <c r="H63" i="22" a="1"/>
  <c r="H63" i="22" s="1"/>
  <c r="G88" i="22" a="1"/>
  <c r="G88" i="22" s="1"/>
  <c r="W25" i="22" a="1"/>
  <c r="W25" i="22" s="1"/>
  <c r="J37" i="22" a="1"/>
  <c r="J37" i="22" s="1"/>
  <c r="E42" i="22" a="1"/>
  <c r="E42" i="22" s="1"/>
  <c r="F42" i="22" a="1"/>
  <c r="F42" i="22" s="1"/>
  <c r="V45" i="22" a="1"/>
  <c r="V45" i="22" s="1"/>
  <c r="P32" i="22" a="1"/>
  <c r="P32" i="22" s="1"/>
  <c r="K90" i="22" a="1"/>
  <c r="K90" i="22" s="1"/>
  <c r="I16" i="22" a="1"/>
  <c r="I16" i="22" s="1"/>
  <c r="X85" i="22" a="1"/>
  <c r="X85" i="22" s="1"/>
  <c r="Z35" i="22" a="1"/>
  <c r="Z35" i="22" s="1"/>
  <c r="F34" i="29" s="1"/>
  <c r="X48" i="22" a="1"/>
  <c r="X48" i="22" s="1"/>
  <c r="J12" i="22" a="1"/>
  <c r="J12" i="22" s="1"/>
  <c r="U53" i="22" a="1"/>
  <c r="U53" i="22" s="1"/>
  <c r="U67" i="22" a="1"/>
  <c r="U67" i="22" s="1"/>
  <c r="Y73" i="22" a="1"/>
  <c r="Y73" i="22" s="1"/>
  <c r="F38" i="22" a="1"/>
  <c r="F38" i="22" s="1"/>
  <c r="X38" i="22" a="1"/>
  <c r="X38" i="22" s="1"/>
  <c r="K84" i="22" a="1"/>
  <c r="K84" i="22" s="1"/>
  <c r="L24" i="22" a="1"/>
  <c r="L24" i="22" s="1"/>
  <c r="S102" i="22" a="1"/>
  <c r="S102" i="22" s="1"/>
  <c r="U26" i="22" a="1"/>
  <c r="U26" i="22" s="1"/>
  <c r="Z78" i="22" a="1"/>
  <c r="Z78" i="22" s="1"/>
  <c r="F77" i="29" s="1"/>
  <c r="X16" i="22" a="1"/>
  <c r="X16" i="22" s="1"/>
  <c r="K65" i="22" a="1"/>
  <c r="K65" i="22" s="1"/>
  <c r="O77" i="22" a="1"/>
  <c r="O77" i="22" s="1"/>
  <c r="Y21" i="22" a="1"/>
  <c r="Y21" i="22" s="1"/>
  <c r="X53" i="22" a="1"/>
  <c r="X53" i="22" s="1"/>
  <c r="Q76" i="22" a="1"/>
  <c r="Q76" i="22" s="1"/>
  <c r="X31" i="22" a="1"/>
  <c r="X31" i="22" s="1"/>
  <c r="L16" i="22" a="1"/>
  <c r="L16" i="22" s="1"/>
  <c r="Q52" i="22" a="1"/>
  <c r="Q52" i="22" s="1"/>
  <c r="Y101" i="22" a="1"/>
  <c r="Y101" i="22" s="1"/>
  <c r="O64" i="22" a="1"/>
  <c r="O64" i="22" s="1"/>
  <c r="W66" i="22" a="1"/>
  <c r="W66" i="22" s="1"/>
  <c r="H72" i="22" a="1"/>
  <c r="H72" i="22" s="1"/>
  <c r="P42" i="22" a="1"/>
  <c r="P42" i="22" s="1"/>
  <c r="U36" i="22" a="1"/>
  <c r="U36" i="22" s="1"/>
  <c r="V40" i="22" a="1"/>
  <c r="V40" i="22" s="1"/>
  <c r="T73" i="22" a="1"/>
  <c r="T73" i="22" s="1"/>
  <c r="J50" i="22" a="1"/>
  <c r="J50" i="22" s="1"/>
  <c r="V35" i="22" a="1"/>
  <c r="V35" i="22" s="1"/>
  <c r="I47" i="22" a="1"/>
  <c r="I47" i="22" s="1"/>
  <c r="S13" i="22" a="1"/>
  <c r="S13" i="22" s="1"/>
  <c r="N38" i="22" a="1"/>
  <c r="N38" i="22" s="1"/>
  <c r="G71" i="22" a="1"/>
  <c r="G71" i="22" s="1"/>
  <c r="Q63" i="22" a="1"/>
  <c r="Q63" i="22" s="1"/>
  <c r="S89" i="22" a="1"/>
  <c r="S89" i="22" s="1"/>
  <c r="E98" i="22" a="1"/>
  <c r="E98" i="22" s="1"/>
  <c r="J78" i="22" a="1"/>
  <c r="J78" i="22" s="1"/>
  <c r="M44" i="22" a="1"/>
  <c r="M44" i="22" s="1"/>
  <c r="L65" i="22" a="1"/>
  <c r="L65" i="22" s="1"/>
  <c r="T82" i="22" a="1"/>
  <c r="T82" i="22" s="1"/>
  <c r="F75" i="22" a="1"/>
  <c r="F75" i="22" s="1"/>
  <c r="J53" i="22" a="1"/>
  <c r="J53" i="22" s="1"/>
  <c r="M61" i="22" a="1"/>
  <c r="M61" i="22" s="1"/>
  <c r="P48" i="22" a="1"/>
  <c r="P48" i="22" s="1"/>
  <c r="T27" i="22" a="1"/>
  <c r="T27" i="22" s="1"/>
  <c r="O47" i="22" a="1"/>
  <c r="O47" i="22" s="1"/>
  <c r="H24" i="22" a="1"/>
  <c r="H24" i="22" s="1"/>
  <c r="P19" i="22" a="1"/>
  <c r="P19" i="22" s="1"/>
  <c r="K26" i="22" a="1"/>
  <c r="K26" i="22" s="1"/>
  <c r="L34" i="22" a="1"/>
  <c r="L34" i="22" s="1"/>
  <c r="E63" i="22" a="1"/>
  <c r="E63" i="22" s="1"/>
  <c r="W38" i="22" a="1"/>
  <c r="W38" i="22" s="1"/>
  <c r="O19" i="22" a="1"/>
  <c r="O19" i="22" s="1"/>
  <c r="W36" i="22" a="1"/>
  <c r="W36" i="22" s="1"/>
  <c r="P83" i="22" a="1"/>
  <c r="P83" i="22" s="1"/>
  <c r="G44" i="22" a="1"/>
  <c r="G44" i="22" s="1"/>
  <c r="T63" i="22" a="1"/>
  <c r="T63" i="22" s="1"/>
  <c r="G27" i="22" a="1"/>
  <c r="G27" i="22" s="1"/>
  <c r="E24" i="22" a="1"/>
  <c r="E24" i="22" s="1"/>
  <c r="P82" i="22" a="1"/>
  <c r="P82" i="22" s="1"/>
  <c r="M90" i="22" a="1"/>
  <c r="M90" i="22" s="1"/>
  <c r="P96" i="22" a="1"/>
  <c r="P96" i="22" s="1"/>
  <c r="L48" i="22" a="1"/>
  <c r="L48" i="22" s="1"/>
  <c r="I49" i="22" a="1"/>
  <c r="I49" i="22" s="1"/>
  <c r="M46" i="22" a="1"/>
  <c r="M46" i="22" s="1"/>
  <c r="E32" i="22" a="1"/>
  <c r="E32" i="22" s="1"/>
  <c r="F37" i="22" a="1"/>
  <c r="F37" i="22" s="1"/>
  <c r="O37" i="22" a="1"/>
  <c r="O37" i="22" s="1"/>
  <c r="W46" i="22" a="1"/>
  <c r="W46" i="22" s="1"/>
  <c r="H84" i="22" a="1"/>
  <c r="H84" i="22" s="1"/>
  <c r="Z21" i="22" a="1"/>
  <c r="Z21" i="22" s="1"/>
  <c r="F20" i="29" s="1"/>
  <c r="W85" i="22" a="1"/>
  <c r="W85" i="22" s="1"/>
  <c r="I91" i="22" a="1"/>
  <c r="I91" i="22" s="1"/>
  <c r="Y35" i="22" a="1"/>
  <c r="Y35" i="22" s="1"/>
  <c r="S39" i="22" a="1"/>
  <c r="S39" i="22" s="1"/>
  <c r="P38" i="22" a="1"/>
  <c r="P38" i="22" s="1"/>
  <c r="I52" i="22" a="1"/>
  <c r="I52" i="22" s="1"/>
  <c r="N46" i="22" a="1"/>
  <c r="N46" i="22" s="1"/>
  <c r="I78" i="22" a="1"/>
  <c r="I78" i="22" s="1"/>
  <c r="W53" i="22" a="1"/>
  <c r="W53" i="22" s="1"/>
  <c r="M22" i="22" a="1"/>
  <c r="M22" i="22" s="1"/>
  <c r="X42" i="22" a="1"/>
  <c r="X42" i="22" s="1"/>
  <c r="G82" i="22" a="1"/>
  <c r="G82" i="22" s="1"/>
  <c r="S26" i="22" a="1"/>
  <c r="S26" i="22" s="1"/>
  <c r="K24" i="22" a="1"/>
  <c r="K24" i="22" s="1"/>
  <c r="I46" i="22" a="1"/>
  <c r="I46" i="22" s="1"/>
  <c r="V27" i="22" a="1"/>
  <c r="V27" i="22" s="1"/>
  <c r="Y23" i="22" a="1"/>
  <c r="Y23" i="22" s="1"/>
  <c r="X30" i="22" a="1"/>
  <c r="X30" i="22" s="1"/>
  <c r="Q64" i="22" a="1"/>
  <c r="Q64" i="22" s="1"/>
  <c r="Y102" i="22" a="1"/>
  <c r="Y102" i="22" s="1"/>
  <c r="M48" i="22" a="1"/>
  <c r="M48" i="22" s="1"/>
  <c r="P37" i="22" a="1"/>
  <c r="P37" i="22" s="1"/>
  <c r="Z41" i="22" a="1"/>
  <c r="Z41" i="22" s="1"/>
  <c r="F40" i="29" s="1"/>
  <c r="K40" i="29" s="1"/>
  <c r="K37" i="22" a="1"/>
  <c r="K37" i="22" s="1"/>
  <c r="P29" i="22" a="1"/>
  <c r="P29" i="22" s="1"/>
  <c r="M68" i="22" a="1"/>
  <c r="M68" i="22" s="1"/>
  <c r="Z13" i="22" a="1"/>
  <c r="Z13" i="22" s="1"/>
  <c r="F12" i="29" s="1"/>
  <c r="Z16" i="22" a="1"/>
  <c r="Z16" i="22" s="1"/>
  <c r="F15" i="29" s="1"/>
  <c r="K58" i="22" a="1"/>
  <c r="K58" i="22" s="1"/>
  <c r="T60" i="22" a="1"/>
  <c r="T60" i="22" s="1"/>
  <c r="P44" i="22" a="1"/>
  <c r="P44" i="22" s="1"/>
  <c r="I23" i="22" a="1"/>
  <c r="I23" i="22" s="1"/>
  <c r="P36" i="22" a="1"/>
  <c r="P36" i="22" s="1"/>
  <c r="Y62" i="22" a="1"/>
  <c r="Y62" i="22" s="1"/>
  <c r="S57" i="22" a="1"/>
  <c r="S57" i="22" s="1"/>
  <c r="G16" i="22" a="1"/>
  <c r="G16" i="22" s="1"/>
  <c r="G41" i="22" a="1"/>
  <c r="G41" i="22" s="1"/>
  <c r="G23" i="22" a="1"/>
  <c r="G23" i="22" s="1"/>
  <c r="M74" i="22" a="1"/>
  <c r="M74" i="22" s="1"/>
  <c r="S86" i="22" a="1"/>
  <c r="S86" i="22" s="1"/>
  <c r="O49" i="22" a="1"/>
  <c r="O49" i="22" s="1"/>
  <c r="E45" i="22" a="1"/>
  <c r="E45" i="22" s="1"/>
  <c r="V18" i="22" a="1"/>
  <c r="V18" i="22" s="1"/>
  <c r="M29" i="22" a="1"/>
  <c r="M29" i="22" s="1"/>
  <c r="Q53" i="22" a="1"/>
  <c r="Q53" i="22" s="1"/>
  <c r="W69" i="22" a="1"/>
  <c r="W69" i="22" s="1"/>
  <c r="I25" i="22" a="1"/>
  <c r="I25" i="22" s="1"/>
  <c r="H54" i="22" a="1"/>
  <c r="H54" i="22" s="1"/>
  <c r="E25" i="22" a="1"/>
  <c r="E25" i="22" s="1"/>
  <c r="K42" i="22" a="1"/>
  <c r="K42" i="22" s="1"/>
  <c r="X35" i="22" a="1"/>
  <c r="X35" i="22" s="1"/>
  <c r="U31" i="22" a="1"/>
  <c r="U31" i="22" s="1"/>
  <c r="S19" i="22" a="1"/>
  <c r="S19" i="22" s="1"/>
  <c r="U69" i="22" a="1"/>
  <c r="U69" i="22" s="1"/>
  <c r="M50" i="22" a="1"/>
  <c r="M50" i="22" s="1"/>
  <c r="Y16" i="22" a="1"/>
  <c r="Y16" i="22" s="1"/>
  <c r="S73" i="22" a="1"/>
  <c r="S73" i="22" s="1"/>
  <c r="N77" i="22" a="1"/>
  <c r="N77" i="22" s="1"/>
  <c r="W35" i="22" a="1"/>
  <c r="W35" i="22" s="1"/>
  <c r="Y82" i="22" a="1"/>
  <c r="Y82" i="22" s="1"/>
  <c r="V19" i="22" a="1"/>
  <c r="V19" i="22" s="1"/>
  <c r="S37" i="22" a="1"/>
  <c r="S37" i="22" s="1"/>
  <c r="G101" i="22" a="1"/>
  <c r="G101" i="22" s="1"/>
  <c r="V54" i="22" a="1"/>
  <c r="V54" i="22" s="1"/>
  <c r="V74" i="22" a="1"/>
  <c r="V74" i="22" s="1"/>
  <c r="G48" i="22" a="1"/>
  <c r="G48" i="22" s="1"/>
  <c r="J49" i="22" a="1"/>
  <c r="J49" i="22" s="1"/>
  <c r="S49" i="22" a="1"/>
  <c r="S49" i="22" s="1"/>
  <c r="U90" i="22" a="1"/>
  <c r="U90" i="22" s="1"/>
  <c r="K97" i="22" a="1"/>
  <c r="K97" i="22" s="1"/>
  <c r="E40" i="22" a="1"/>
  <c r="E40" i="22" s="1"/>
  <c r="N64" i="22" a="1"/>
  <c r="N64" i="22" s="1"/>
  <c r="T25" i="22" a="1"/>
  <c r="T25" i="22" s="1"/>
  <c r="E54" i="22" a="1"/>
  <c r="E54" i="22" s="1"/>
  <c r="K54" i="22" a="1"/>
  <c r="K54" i="22" s="1"/>
  <c r="H21" i="22" a="1"/>
  <c r="H21" i="22" s="1"/>
  <c r="G21" i="22" a="1"/>
  <c r="G21" i="22" s="1"/>
  <c r="H66" i="22" a="1"/>
  <c r="H66" i="22" s="1"/>
  <c r="U50" i="22" a="1"/>
  <c r="U50" i="22" s="1"/>
  <c r="M58" i="22" a="1"/>
  <c r="M58" i="22" s="1"/>
  <c r="L61" i="22" a="1"/>
  <c r="L61" i="22" s="1"/>
  <c r="H23" i="22" a="1"/>
  <c r="H23" i="22" s="1"/>
  <c r="I66" i="22" a="1"/>
  <c r="I66" i="22" s="1"/>
  <c r="E46" i="22" a="1"/>
  <c r="E46" i="22" s="1"/>
  <c r="L44" i="22" a="1"/>
  <c r="L44" i="22" s="1"/>
  <c r="U48" i="22" a="1"/>
  <c r="U48" i="22" s="1"/>
  <c r="W28" i="22" a="1"/>
  <c r="W28" i="22" s="1"/>
  <c r="N37" i="22" a="1"/>
  <c r="N37" i="22" s="1"/>
  <c r="J35" i="22" a="1"/>
  <c r="J35" i="22" s="1"/>
  <c r="H53" i="22" a="1"/>
  <c r="H53" i="22" s="1"/>
  <c r="V98" i="22" a="1"/>
  <c r="V98" i="22" s="1"/>
  <c r="K81" i="22" a="1"/>
  <c r="K81" i="22" s="1"/>
  <c r="S79" i="22" a="1"/>
  <c r="S79" i="22" s="1"/>
  <c r="M41" i="22" a="1"/>
  <c r="M41" i="22" s="1"/>
  <c r="M62" i="22" a="1"/>
  <c r="M62" i="22" s="1"/>
  <c r="N74" i="22" a="1"/>
  <c r="N74" i="22" s="1"/>
  <c r="E79" i="22" a="1"/>
  <c r="E79" i="22" s="1"/>
  <c r="M13" i="22" a="1"/>
  <c r="M13" i="22" s="1"/>
  <c r="M40" i="22" a="1"/>
  <c r="M40" i="22" s="1"/>
  <c r="Z40" i="22" a="1"/>
  <c r="Z40" i="22" s="1"/>
  <c r="F39" i="29" s="1"/>
  <c r="W78" i="22" a="1"/>
  <c r="W78" i="22" s="1"/>
  <c r="Q56" i="22" a="1"/>
  <c r="Q56" i="22" s="1"/>
  <c r="F52" i="22" a="1"/>
  <c r="F52" i="22" s="1"/>
  <c r="S93" i="22" a="1"/>
  <c r="S93" i="22" s="1"/>
  <c r="T96" i="22" a="1"/>
  <c r="T96" i="22" s="1"/>
  <c r="H88" i="22" a="1"/>
  <c r="H88" i="22" s="1"/>
  <c r="N82" i="22" a="1"/>
  <c r="N82" i="22" s="1"/>
  <c r="S90" i="22" a="1"/>
  <c r="S90" i="22" s="1"/>
  <c r="F60" i="22" a="1"/>
  <c r="F60" i="22" s="1"/>
  <c r="L87" i="22" a="1"/>
  <c r="L87" i="22" s="1"/>
  <c r="P75" i="22" a="1"/>
  <c r="P75" i="22" s="1"/>
  <c r="L78" i="22" a="1"/>
  <c r="L78" i="22" s="1"/>
  <c r="F40" i="22" a="1"/>
  <c r="F40" i="22" s="1"/>
  <c r="L96" i="22" a="1"/>
  <c r="L96" i="22" s="1"/>
  <c r="J87" i="22" a="1"/>
  <c r="J87" i="22" s="1"/>
  <c r="M85" i="22" a="1"/>
  <c r="M85" i="22" s="1"/>
  <c r="Y69" i="22" a="1"/>
  <c r="Y69" i="22" s="1"/>
  <c r="W40" i="22" a="1"/>
  <c r="W40" i="22" s="1"/>
  <c r="G97" i="22" a="1"/>
  <c r="G97" i="22" s="1"/>
  <c r="I19" i="22" a="1"/>
  <c r="I19" i="22" s="1"/>
  <c r="Y71" i="22" a="1"/>
  <c r="Y71" i="22" s="1"/>
  <c r="U12" i="22" a="1"/>
  <c r="U12" i="22" s="1"/>
  <c r="W55" i="22" a="1"/>
  <c r="W55" i="22" s="1"/>
  <c r="O71" i="22" a="1"/>
  <c r="O71" i="22" s="1"/>
  <c r="M76" i="22" a="1"/>
  <c r="M76" i="22" s="1"/>
  <c r="F96" i="22" a="1"/>
  <c r="F96" i="22" s="1"/>
  <c r="E50" i="22" a="1"/>
  <c r="E50" i="22" s="1"/>
  <c r="X75" i="22" a="1"/>
  <c r="X75" i="22" s="1"/>
  <c r="I71" i="22" a="1"/>
  <c r="I71" i="22" s="1"/>
  <c r="S21" i="22" a="1"/>
  <c r="S21" i="22" s="1"/>
  <c r="U20" i="22" a="1"/>
  <c r="U20" i="22" s="1"/>
  <c r="J80" i="22" a="1"/>
  <c r="J80" i="22" s="1"/>
  <c r="O91" i="22" a="1"/>
  <c r="O91" i="22" s="1"/>
  <c r="Y20" i="22" a="1"/>
  <c r="Y20" i="22" s="1"/>
  <c r="J19" i="22" a="1"/>
  <c r="J19" i="22" s="1"/>
  <c r="H71" i="22" a="1"/>
  <c r="H71" i="22" s="1"/>
  <c r="Z70" i="22" a="1"/>
  <c r="Z70" i="22" s="1"/>
  <c r="F69" i="29" s="1"/>
  <c r="W67" i="22" a="1"/>
  <c r="W67" i="22" s="1"/>
  <c r="M64" i="22" a="1"/>
  <c r="M64" i="22" s="1"/>
  <c r="T62" i="22" a="1"/>
  <c r="T62" i="22" s="1"/>
  <c r="T93" i="22" a="1"/>
  <c r="T93" i="22" s="1"/>
  <c r="Y52" i="22" a="1"/>
  <c r="Y52" i="22" s="1"/>
  <c r="E51" i="22" a="1"/>
  <c r="E51" i="22" s="1"/>
  <c r="S31" i="22" a="1"/>
  <c r="S31" i="22" s="1"/>
  <c r="M84" i="22" a="1"/>
  <c r="M84" i="22" s="1"/>
  <c r="E30" i="22" a="1"/>
  <c r="E30" i="22" s="1"/>
  <c r="L54" i="22" a="1"/>
  <c r="L54" i="22" s="1"/>
  <c r="O53" i="22" a="1"/>
  <c r="O53" i="22" s="1"/>
  <c r="Q35" i="22" a="1"/>
  <c r="Q35" i="22" s="1"/>
  <c r="T97" i="22" a="1"/>
  <c r="T97" i="22" s="1"/>
  <c r="K69" i="22" a="1"/>
  <c r="K69" i="22" s="1"/>
  <c r="K25" i="22" a="1"/>
  <c r="K25" i="22" s="1"/>
  <c r="H26" i="22" a="1"/>
  <c r="H26" i="22" s="1"/>
  <c r="N44" i="22" a="1"/>
  <c r="N44" i="22" s="1"/>
  <c r="I12" i="22" a="1"/>
  <c r="I12" i="22" s="1"/>
  <c r="M69" i="22" a="1"/>
  <c r="M69" i="22" s="1"/>
  <c r="Y50" i="22" a="1"/>
  <c r="Y50" i="22" s="1"/>
  <c r="F85" i="22" a="1"/>
  <c r="F85" i="22" s="1"/>
  <c r="U25" i="22" a="1"/>
  <c r="U25" i="22" s="1"/>
  <c r="S83" i="22" a="1"/>
  <c r="S83" i="22" s="1"/>
  <c r="T101" i="22" a="1"/>
  <c r="T101" i="22" s="1"/>
  <c r="Q25" i="22" a="1"/>
  <c r="Q25" i="22" s="1"/>
  <c r="S100" i="22" a="1"/>
  <c r="S100" i="22" s="1"/>
  <c r="S81" i="22" a="1"/>
  <c r="S81" i="22" s="1"/>
  <c r="I59" i="22" a="1"/>
  <c r="I59" i="22" s="1"/>
  <c r="T79" i="22" a="1"/>
  <c r="T79" i="22" s="1"/>
  <c r="K70" i="22" a="1"/>
  <c r="K70" i="22" s="1"/>
  <c r="Y67" i="22" a="1"/>
  <c r="Y67" i="22" s="1"/>
  <c r="G95" i="22" a="1"/>
  <c r="G95" i="22" s="1"/>
  <c r="J96" i="22" a="1"/>
  <c r="J96" i="22" s="1"/>
  <c r="U58" i="22" a="1"/>
  <c r="U58" i="22" s="1"/>
  <c r="S64" i="22" a="1"/>
  <c r="S64" i="22" s="1"/>
  <c r="U83" i="22" a="1"/>
  <c r="U83" i="22" s="1"/>
  <c r="W94" i="22" a="1"/>
  <c r="W94" i="22" s="1"/>
  <c r="E65" i="22" a="1"/>
  <c r="E65" i="22" s="1"/>
  <c r="O51" i="22" a="1"/>
  <c r="O51" i="22" s="1"/>
  <c r="Z91" i="22" a="1"/>
  <c r="Z91" i="22" s="1"/>
  <c r="F90" i="29" s="1"/>
  <c r="F18" i="22" a="1"/>
  <c r="F18" i="22" s="1"/>
  <c r="L35" i="22" a="1"/>
  <c r="L35" i="22" s="1"/>
  <c r="Q94" i="22" a="1"/>
  <c r="Q94" i="22" s="1"/>
  <c r="H61" i="22" a="1"/>
  <c r="H61" i="22" s="1"/>
  <c r="E96" i="22" a="1"/>
  <c r="E96" i="22" s="1"/>
  <c r="Z89" i="22" a="1"/>
  <c r="Z89" i="22" s="1"/>
  <c r="F88" i="29" s="1"/>
  <c r="X32" i="22" a="1"/>
  <c r="X32" i="22" s="1"/>
  <c r="T95" i="22" a="1"/>
  <c r="T95" i="22" s="1"/>
  <c r="Q58" i="22" a="1"/>
  <c r="Q58" i="22" s="1"/>
  <c r="M72" i="22" a="1"/>
  <c r="M72" i="22" s="1"/>
  <c r="Y53" i="22" a="1"/>
  <c r="Y53" i="22" s="1"/>
  <c r="T47" i="22" a="1"/>
  <c r="T47" i="22" s="1"/>
  <c r="P16" i="22" a="1"/>
  <c r="P16" i="22" s="1"/>
  <c r="M59" i="22" a="1"/>
  <c r="M59" i="22" s="1"/>
  <c r="U29" i="22" a="1"/>
  <c r="U29" i="22" s="1"/>
  <c r="Y55" i="22" a="1"/>
  <c r="Y55" i="22" s="1"/>
  <c r="O66" i="22" a="1"/>
  <c r="O66" i="22" s="1"/>
  <c r="T32" i="22" a="1"/>
  <c r="T32" i="22" s="1"/>
  <c r="G43" i="22" a="1"/>
  <c r="G43" i="22" s="1"/>
  <c r="F81" i="22" a="1"/>
  <c r="F81" i="22" s="1"/>
  <c r="J67" i="22" a="1"/>
  <c r="J67" i="22" s="1"/>
  <c r="P65" i="22" a="1"/>
  <c r="P65" i="22" s="1"/>
  <c r="Q29" i="22" a="1"/>
  <c r="Q29" i="22" s="1"/>
  <c r="H92" i="22" a="1"/>
  <c r="H92" i="22" s="1"/>
  <c r="Z92" i="22" a="1"/>
  <c r="Z92" i="22" s="1"/>
  <c r="F91" i="29" s="1"/>
  <c r="Z84" i="22" a="1"/>
  <c r="Z84" i="22" s="1"/>
  <c r="F83" i="29" s="1"/>
  <c r="V61" i="22" a="1"/>
  <c r="V61" i="22" s="1"/>
  <c r="S77" i="22" a="1"/>
  <c r="S77" i="22" s="1"/>
  <c r="G72" i="22" a="1"/>
  <c r="G72" i="22" s="1"/>
  <c r="H93" i="22" a="1"/>
  <c r="H93" i="22" s="1"/>
  <c r="P53" i="22" a="1"/>
  <c r="P53" i="22" s="1"/>
  <c r="J16" i="22" a="1"/>
  <c r="J16" i="22" s="1"/>
  <c r="E69" i="22" a="1"/>
  <c r="E69" i="22" s="1"/>
  <c r="O72" i="22" a="1"/>
  <c r="O72" i="22" s="1"/>
  <c r="F73" i="22" a="1"/>
  <c r="F73" i="22" s="1"/>
  <c r="X50" i="22" a="1"/>
  <c r="X50" i="22" s="1"/>
  <c r="K16" i="22" a="1"/>
  <c r="K16" i="22" s="1"/>
  <c r="P92" i="22" a="1"/>
  <c r="P92" i="22" s="1"/>
  <c r="W58" i="22" a="1"/>
  <c r="W58" i="22" s="1"/>
  <c r="I98" i="22" a="1"/>
  <c r="I98" i="22" s="1"/>
  <c r="I88" i="22" a="1"/>
  <c r="I88" i="22" s="1"/>
  <c r="Q80" i="22" a="1"/>
  <c r="Q80" i="22" s="1"/>
  <c r="F48" i="22" a="1"/>
  <c r="F48" i="22" s="1"/>
  <c r="Z56" i="22" a="1"/>
  <c r="Z56" i="22" s="1"/>
  <c r="F55" i="29" s="1"/>
  <c r="W91" i="22" a="1"/>
  <c r="W91" i="22" s="1"/>
  <c r="F65" i="22" a="1"/>
  <c r="F65" i="22" s="1"/>
  <c r="Z24" i="22" a="1"/>
  <c r="Z24" i="22" s="1"/>
  <c r="F23" i="29" s="1"/>
  <c r="O80" i="22" a="1"/>
  <c r="O80" i="22" s="1"/>
  <c r="Q27" i="22" a="1"/>
  <c r="Q27" i="22" s="1"/>
  <c r="Q24" i="22" a="1"/>
  <c r="Q24" i="22" s="1"/>
  <c r="P100" i="22" a="1"/>
  <c r="P100" i="22" s="1"/>
  <c r="N21" i="22" a="1"/>
  <c r="N21" i="22" s="1"/>
  <c r="S87" i="22" a="1"/>
  <c r="S87" i="22" s="1"/>
  <c r="L51" i="22" a="1"/>
  <c r="L51" i="22" s="1"/>
  <c r="I87" i="22" a="1"/>
  <c r="I87" i="22" s="1"/>
  <c r="K99" i="22" a="1"/>
  <c r="K99" i="22" s="1"/>
  <c r="Z74" i="22" a="1"/>
  <c r="Z74" i="22" s="1"/>
  <c r="F73" i="29" s="1"/>
  <c r="Y96" i="22" a="1"/>
  <c r="Y96" i="22" s="1"/>
  <c r="V89" i="22" a="1"/>
  <c r="V89" i="22" s="1"/>
  <c r="W37" i="22" a="1"/>
  <c r="W37" i="22" s="1"/>
  <c r="H28" i="22" a="1"/>
  <c r="H28" i="22" s="1"/>
  <c r="X22" i="22" a="1"/>
  <c r="X22" i="22" s="1"/>
  <c r="W71" i="22" a="1"/>
  <c r="W71" i="22" s="1"/>
  <c r="K82" i="22" a="1"/>
  <c r="K82" i="22" s="1"/>
  <c r="E70" i="22" a="1"/>
  <c r="E70" i="22" s="1"/>
  <c r="L71" i="22" a="1"/>
  <c r="L71" i="22" s="1"/>
  <c r="N93" i="22" a="1"/>
  <c r="N93" i="22" s="1"/>
  <c r="S56" i="22" a="1"/>
  <c r="S56" i="22" s="1"/>
  <c r="T55" i="22" a="1"/>
  <c r="T55" i="22" s="1"/>
  <c r="Q83" i="22" a="1"/>
  <c r="Q83" i="22" s="1"/>
  <c r="N18" i="22" a="1"/>
  <c r="N18" i="22" s="1"/>
  <c r="O88" i="22" a="1"/>
  <c r="O88" i="22" s="1"/>
  <c r="Y66" i="22" a="1"/>
  <c r="Y66" i="22" s="1"/>
  <c r="V56" i="22" a="1"/>
  <c r="V56" i="22" s="1"/>
  <c r="U98" i="22" a="1"/>
  <c r="U98" i="22" s="1"/>
  <c r="H77" i="22" a="1"/>
  <c r="H77" i="22" s="1"/>
  <c r="G90" i="22" a="1"/>
  <c r="G90" i="22" s="1"/>
  <c r="M38" i="22" a="1"/>
  <c r="M38" i="22" s="1"/>
  <c r="M27" i="22" a="1"/>
  <c r="M27" i="22" s="1"/>
  <c r="J57" i="22" a="1"/>
  <c r="J57" i="22" s="1"/>
  <c r="J28" i="22" a="1"/>
  <c r="J28" i="22" s="1"/>
  <c r="L21" i="22" a="1"/>
  <c r="L21" i="22" s="1"/>
  <c r="F84" i="22" a="1"/>
  <c r="F84" i="22" s="1"/>
  <c r="P46" i="22" a="1"/>
  <c r="P46" i="22" s="1"/>
  <c r="N52" i="22" a="1"/>
  <c r="N52" i="22" s="1"/>
  <c r="P71" i="22" a="1"/>
  <c r="P71" i="22" s="1"/>
  <c r="S82" i="22" a="1"/>
  <c r="S82" i="22" s="1"/>
  <c r="S72" i="22" a="1"/>
  <c r="S72" i="22" s="1"/>
  <c r="H99" i="22" a="1"/>
  <c r="H99" i="22" s="1"/>
  <c r="V92" i="22" a="1"/>
  <c r="V92" i="22" s="1"/>
  <c r="X23" i="22" a="1"/>
  <c r="X23" i="22" s="1"/>
  <c r="W72" i="22" a="1"/>
  <c r="W72" i="22" s="1"/>
  <c r="Q12" i="22" a="1"/>
  <c r="Q12" i="22" s="1"/>
  <c r="N39" i="22" a="1"/>
  <c r="N39" i="22" s="1"/>
  <c r="V94" i="22" a="1"/>
  <c r="V94" i="22" s="1"/>
  <c r="Q87" i="22" a="1"/>
  <c r="Q87" i="22" s="1"/>
  <c r="N91" i="22" a="1"/>
  <c r="N91" i="22" s="1"/>
  <c r="H56" i="22" a="1"/>
  <c r="H56" i="22" s="1"/>
  <c r="Z19" i="22" a="1"/>
  <c r="Z19" i="22" s="1"/>
  <c r="F18" i="29" s="1"/>
  <c r="X65" i="22" a="1"/>
  <c r="X65" i="22" s="1"/>
  <c r="P56" i="22" a="1"/>
  <c r="P56" i="22" s="1"/>
  <c r="S52" i="22" a="1"/>
  <c r="S52" i="22" s="1"/>
  <c r="Y85" i="22" a="1"/>
  <c r="Y85" i="22" s="1"/>
  <c r="W87" i="22" a="1"/>
  <c r="W87" i="22" s="1"/>
  <c r="Q84" i="22" a="1"/>
  <c r="Q84" i="22" s="1"/>
  <c r="N55" i="22" a="1"/>
  <c r="N55" i="22" s="1"/>
  <c r="M49" i="22" a="1"/>
  <c r="M49" i="22" s="1"/>
  <c r="U75" i="22" a="1"/>
  <c r="U75" i="22" s="1"/>
  <c r="H82" i="22" a="1"/>
  <c r="H82" i="22" s="1"/>
  <c r="Y63" i="22" a="1"/>
  <c r="Y63" i="22" s="1"/>
  <c r="N57" i="22" a="1"/>
  <c r="N57" i="22" s="1"/>
  <c r="O73" i="22" a="1"/>
  <c r="O73" i="22" s="1"/>
  <c r="X102" i="22" a="1"/>
  <c r="X102" i="22" s="1"/>
  <c r="X81" i="22" a="1"/>
  <c r="X81" i="22" s="1"/>
  <c r="O98" i="22" a="1"/>
  <c r="O98" i="22" s="1"/>
  <c r="L56" i="22" a="1"/>
  <c r="L56" i="22" s="1"/>
  <c r="H51" i="22" a="1"/>
  <c r="H51" i="22" s="1"/>
  <c r="Y26" i="22" a="1"/>
  <c r="Y26" i="22" s="1"/>
  <c r="Y44" i="22" a="1"/>
  <c r="Y44" i="22" s="1"/>
  <c r="X74" i="22" a="1"/>
  <c r="X74" i="22" s="1"/>
  <c r="Q68" i="22" a="1"/>
  <c r="Q68" i="22" s="1"/>
  <c r="W32" i="22" a="1"/>
  <c r="W32" i="22" s="1"/>
  <c r="Q95" i="22" a="1"/>
  <c r="Q95" i="22" s="1"/>
  <c r="N19" i="22" a="1"/>
  <c r="N19" i="22" s="1"/>
  <c r="N68" i="22" a="1"/>
  <c r="N68" i="22" s="1"/>
  <c r="G91" i="22" a="1"/>
  <c r="G91" i="22" s="1"/>
  <c r="Y93" i="22" a="1"/>
  <c r="Y93" i="22" s="1"/>
  <c r="P91" i="22" a="1"/>
  <c r="P91" i="22" s="1"/>
  <c r="W101" i="22" a="1"/>
  <c r="W101" i="22" s="1"/>
  <c r="H68" i="22" a="1"/>
  <c r="H68" i="22" s="1"/>
  <c r="S97" i="22" a="1"/>
  <c r="S97" i="22" s="1"/>
  <c r="W73" i="22" a="1"/>
  <c r="W73" i="22" s="1"/>
  <c r="W63" i="22" a="1"/>
  <c r="W63" i="22" s="1"/>
  <c r="W93" i="22" a="1"/>
  <c r="W93" i="22" s="1"/>
  <c r="Q97" i="22" a="1"/>
  <c r="Q97" i="22" s="1"/>
  <c r="Q77" i="22" a="1"/>
  <c r="Q77" i="22" s="1"/>
  <c r="P69" i="22" a="1"/>
  <c r="P69" i="22" s="1"/>
  <c r="H67" i="22" a="1"/>
  <c r="H67" i="22" s="1"/>
  <c r="S62" i="22" a="1"/>
  <c r="S62" i="22" s="1"/>
  <c r="X86" i="22" a="1"/>
  <c r="X86" i="22" s="1"/>
  <c r="V23" i="22" a="1"/>
  <c r="V23" i="22" s="1"/>
  <c r="U91" i="22" a="1"/>
  <c r="U91" i="22" s="1"/>
  <c r="G52" i="22" a="1"/>
  <c r="G52" i="22" s="1"/>
  <c r="Y65" i="22" a="1"/>
  <c r="Y65" i="22" s="1"/>
  <c r="F97" i="22" a="1"/>
  <c r="F97" i="22" s="1"/>
  <c r="I57" i="22" a="1"/>
  <c r="I57" i="22" s="1"/>
  <c r="T102" i="22" a="1"/>
  <c r="T102" i="22" s="1"/>
  <c r="T46" i="22" a="1"/>
  <c r="T46" i="22" s="1"/>
  <c r="S20" i="22" a="1"/>
  <c r="S20" i="22" s="1"/>
  <c r="N73" i="22" a="1"/>
  <c r="N73" i="22" s="1"/>
  <c r="Q70" i="22" a="1"/>
  <c r="Q70" i="22" s="1"/>
  <c r="X63" i="22" a="1"/>
  <c r="X63" i="22" s="1"/>
  <c r="H19" i="22" a="1"/>
  <c r="H19" i="22" s="1"/>
  <c r="V37" i="22" a="1"/>
  <c r="V37" i="22" s="1"/>
  <c r="L72" i="22" a="1"/>
  <c r="L72" i="22" s="1"/>
  <c r="V63" i="22" a="1"/>
  <c r="V63" i="22" s="1"/>
  <c r="Z87" i="22" a="1"/>
  <c r="Z87" i="22" s="1"/>
  <c r="F86" i="29" s="1"/>
  <c r="T75" i="22" a="1"/>
  <c r="T75" i="22" s="1"/>
  <c r="P62" i="22" a="1"/>
  <c r="P62" i="22" s="1"/>
  <c r="T35" i="22" a="1"/>
  <c r="T35" i="22" s="1"/>
  <c r="D34" i="29" s="1"/>
  <c r="F45" i="22" a="1"/>
  <c r="F45" i="22" s="1"/>
  <c r="H35" i="22" a="1"/>
  <c r="H35" i="22" s="1"/>
  <c r="K76" i="22" a="1"/>
  <c r="K76" i="22" s="1"/>
  <c r="U54" i="22" a="1"/>
  <c r="U54" i="22" s="1"/>
  <c r="L39" i="22" a="1"/>
  <c r="L39" i="22" s="1"/>
  <c r="P86" i="22" a="1"/>
  <c r="P86" i="22" s="1"/>
  <c r="Z64" i="22" a="1"/>
  <c r="Z64" i="22" s="1"/>
  <c r="F63" i="29" s="1"/>
  <c r="X64" i="22" a="1"/>
  <c r="X64" i="22" s="1"/>
  <c r="E83" i="22" a="1"/>
  <c r="E83" i="22" s="1"/>
  <c r="K35" i="22" a="1"/>
  <c r="K35" i="22" s="1"/>
  <c r="M89" i="22" a="1"/>
  <c r="M89" i="22" s="1"/>
  <c r="V49" i="22" a="1"/>
  <c r="V49" i="22" s="1"/>
  <c r="Y42" i="22" a="1"/>
  <c r="Y42" i="22" s="1"/>
  <c r="J70" i="22" a="1"/>
  <c r="J70" i="22" s="1"/>
  <c r="N78" i="22" a="1"/>
  <c r="N78" i="22" s="1"/>
  <c r="X47" i="22" a="1"/>
  <c r="X47" i="22" s="1"/>
  <c r="J47" i="22" a="1"/>
  <c r="J47" i="22" s="1"/>
  <c r="Z81" i="22" a="1"/>
  <c r="Z81" i="22" s="1"/>
  <c r="F80" i="29" s="1"/>
  <c r="Q88" i="22" a="1"/>
  <c r="Q88" i="22" s="1"/>
  <c r="M91" i="22" a="1"/>
  <c r="M91" i="22" s="1"/>
  <c r="E73" i="22" a="1"/>
  <c r="E73" i="22" s="1"/>
  <c r="V88" i="22" a="1"/>
  <c r="V88" i="22" s="1"/>
  <c r="I73" i="22" a="1"/>
  <c r="I73" i="22" s="1"/>
  <c r="U57" i="22" a="1"/>
  <c r="U57" i="22" s="1"/>
  <c r="L22" i="22" a="1"/>
  <c r="L22" i="22" s="1"/>
  <c r="Y84" i="22" a="1"/>
  <c r="Y84" i="22" s="1"/>
  <c r="M63" i="22" a="1"/>
  <c r="M63" i="22" s="1"/>
  <c r="M31" i="22" a="1"/>
  <c r="M31" i="22" s="1"/>
  <c r="U59" i="22" a="1"/>
  <c r="U59" i="22" s="1"/>
  <c r="G96" i="22" a="1"/>
  <c r="G96" i="22" s="1"/>
  <c r="W90" i="22" a="1"/>
  <c r="W90" i="22" s="1"/>
  <c r="K59" i="22" a="1"/>
  <c r="K59" i="22" s="1"/>
  <c r="I64" i="22" a="1"/>
  <c r="I64" i="22" s="1"/>
  <c r="X83" i="22" a="1"/>
  <c r="X83" i="22" s="1"/>
  <c r="M36" i="22" a="1"/>
  <c r="M36" i="22" s="1"/>
  <c r="F91" i="22" a="1"/>
  <c r="F91" i="22" s="1"/>
  <c r="E59" i="22" a="1"/>
  <c r="E59" i="22" s="1"/>
  <c r="S35" i="22" a="1"/>
  <c r="S35" i="22" s="1"/>
  <c r="J60" i="22" a="1"/>
  <c r="J60" i="22" s="1"/>
  <c r="H69" i="22" a="1"/>
  <c r="H69" i="22" s="1"/>
  <c r="Q18" i="22" a="1"/>
  <c r="Q18" i="22" s="1"/>
  <c r="J77" i="22" a="1"/>
  <c r="J77" i="22" s="1"/>
  <c r="I38" i="22" a="1"/>
  <c r="I38" i="22" s="1"/>
  <c r="Z68" i="22" a="1"/>
  <c r="Z68" i="22" s="1"/>
  <c r="F67" i="29" s="1"/>
  <c r="X55" i="22" a="1"/>
  <c r="X55" i="22" s="1"/>
  <c r="G67" i="22" a="1"/>
  <c r="G67" i="22" s="1"/>
  <c r="I63" i="22" a="1"/>
  <c r="I63" i="22" s="1"/>
  <c r="J68" i="22" a="1"/>
  <c r="J68" i="22" s="1"/>
  <c r="O50" i="22" a="1"/>
  <c r="O50" i="22" s="1"/>
  <c r="O81" i="22" a="1"/>
  <c r="O81" i="22" s="1"/>
  <c r="X37" i="22" a="1"/>
  <c r="X37" i="22" s="1"/>
  <c r="E37" i="22" a="1"/>
  <c r="E37" i="22" s="1"/>
  <c r="I75" i="22" a="1"/>
  <c r="I75" i="22" s="1"/>
  <c r="E20" i="22" a="1"/>
  <c r="E20" i="22" s="1"/>
  <c r="I96" i="22" a="1"/>
  <c r="I96" i="22" s="1"/>
  <c r="Q69" i="22" a="1"/>
  <c r="Q69" i="22" s="1"/>
  <c r="M94" i="22" a="1"/>
  <c r="M94" i="22" s="1"/>
  <c r="Q81" i="22" a="1"/>
  <c r="Q81" i="22" s="1"/>
  <c r="Q61" i="22" a="1"/>
  <c r="Q61" i="22" s="1"/>
  <c r="I67" i="22" a="1"/>
  <c r="I67" i="22" s="1"/>
  <c r="Z102" i="22" a="1"/>
  <c r="Z102" i="22" s="1"/>
  <c r="F101" i="29" s="1"/>
  <c r="V62" i="22" a="1"/>
  <c r="V62" i="22" s="1"/>
  <c r="U84" i="22" a="1"/>
  <c r="U84" i="22" s="1"/>
  <c r="L25" i="22" a="1"/>
  <c r="L25" i="22" s="1"/>
  <c r="E72" i="22" a="1"/>
  <c r="E72" i="22" s="1"/>
  <c r="T89" i="22" a="1"/>
  <c r="T89" i="22" s="1"/>
  <c r="G61" i="22" a="1"/>
  <c r="G61" i="22" s="1"/>
  <c r="K88" i="22" a="1"/>
  <c r="K88" i="22" s="1"/>
  <c r="V85" i="22" a="1"/>
  <c r="V85" i="22" s="1"/>
  <c r="Y91" i="22" a="1"/>
  <c r="Y91" i="22" s="1"/>
  <c r="I40" i="22" a="1"/>
  <c r="I40" i="22" s="1"/>
  <c r="Q93" i="22" a="1"/>
  <c r="Q93" i="22" s="1"/>
  <c r="G58" i="22" a="1"/>
  <c r="G58" i="22" s="1"/>
  <c r="U55" i="22" a="1"/>
  <c r="U55" i="22" s="1"/>
  <c r="H60" i="22" a="1"/>
  <c r="H60" i="22" s="1"/>
  <c r="S41" i="22" a="1"/>
  <c r="S41" i="22" s="1"/>
  <c r="V75" i="22" a="1"/>
  <c r="V75" i="22" s="1"/>
  <c r="O63" i="22" a="1"/>
  <c r="O63" i="22" s="1"/>
  <c r="L50" i="22" a="1"/>
  <c r="L50" i="22" s="1"/>
  <c r="Q22" i="22" a="1"/>
  <c r="Q22" i="22" s="1"/>
  <c r="K46" i="22" a="1"/>
  <c r="K46" i="22" s="1"/>
  <c r="L64" i="22" a="1"/>
  <c r="L64" i="22" s="1"/>
  <c r="G75" i="22" a="1"/>
  <c r="G75" i="22" s="1"/>
  <c r="X99" i="22" a="1"/>
  <c r="X99" i="22" s="1"/>
  <c r="O83" i="22" a="1"/>
  <c r="O83" i="22" s="1"/>
  <c r="U94" i="22" a="1"/>
  <c r="U94" i="22" s="1"/>
  <c r="I60" i="22" a="1"/>
  <c r="I60" i="22" s="1"/>
  <c r="G85" i="22" a="1"/>
  <c r="G85" i="22" s="1"/>
  <c r="I15" i="22" a="1"/>
  <c r="I15" i="22" s="1"/>
  <c r="T64" i="22" a="1"/>
  <c r="T64" i="22" s="1"/>
  <c r="Y58" i="22" a="1"/>
  <c r="Y58" i="22" s="1"/>
  <c r="P97" i="22" a="1"/>
  <c r="P97" i="22" s="1"/>
  <c r="P89" i="22" a="1"/>
  <c r="P89" i="22" s="1"/>
  <c r="I94" i="22" a="1"/>
  <c r="I94" i="22" s="1"/>
  <c r="H20" i="22" a="1"/>
  <c r="H20" i="22" s="1"/>
  <c r="M81" i="22" a="1"/>
  <c r="M81" i="22" s="1"/>
  <c r="F20" i="22" a="1"/>
  <c r="F20" i="22" s="1"/>
  <c r="X68" i="22" a="1"/>
  <c r="X68" i="22" s="1"/>
  <c r="F55" i="22" a="1"/>
  <c r="F55" i="22" s="1"/>
  <c r="L53" i="22" a="1"/>
  <c r="L53" i="22" s="1"/>
  <c r="K93" i="22" a="1"/>
  <c r="K93" i="22" s="1"/>
  <c r="M47" i="22" a="1"/>
  <c r="M47" i="22" s="1"/>
  <c r="Z79" i="22" a="1"/>
  <c r="Z79" i="22" s="1"/>
  <c r="F78" i="29" s="1"/>
  <c r="V80" i="22" a="1"/>
  <c r="V80" i="22" s="1"/>
  <c r="Q34" i="22" a="1"/>
  <c r="Q34" i="22" s="1"/>
  <c r="W43" i="22" a="1"/>
  <c r="W43" i="22" s="1"/>
  <c r="Z80" i="22" a="1"/>
  <c r="Z80" i="22" s="1"/>
  <c r="F79" i="29" s="1"/>
  <c r="U100" i="22" a="1"/>
  <c r="U100" i="22" s="1"/>
  <c r="N29" i="22" a="1"/>
  <c r="N29" i="22" s="1"/>
  <c r="S80" i="22" a="1"/>
  <c r="S80" i="22" s="1"/>
  <c r="L42" i="22" a="1"/>
  <c r="L42" i="22" s="1"/>
  <c r="Q41" i="22" a="1"/>
  <c r="Q41" i="22" s="1"/>
  <c r="U52" i="22" a="1"/>
  <c r="U52" i="22" s="1"/>
  <c r="E38" i="22" a="1"/>
  <c r="E38" i="22" s="1"/>
  <c r="V91" i="22" a="1"/>
  <c r="V91" i="22" s="1"/>
  <c r="Q54" i="22" a="1"/>
  <c r="Q54" i="22" s="1"/>
  <c r="O87" i="22" a="1"/>
  <c r="O87" i="22" s="1"/>
  <c r="J43" i="22" a="1"/>
  <c r="J43" i="22" s="1"/>
  <c r="Z25" i="22" a="1"/>
  <c r="Z25" i="22" s="1"/>
  <c r="F24" i="29" s="1"/>
  <c r="W99" i="22" a="1"/>
  <c r="W99" i="22" s="1"/>
  <c r="N12" i="22" a="1"/>
  <c r="N12" i="22" s="1"/>
  <c r="M99" i="22" a="1"/>
  <c r="M99" i="22" s="1"/>
  <c r="X52" i="22" a="1"/>
  <c r="X52" i="22" s="1"/>
  <c r="V41" i="22" a="1"/>
  <c r="V41" i="22" s="1"/>
  <c r="M67" i="22" a="1"/>
  <c r="M67" i="22" s="1"/>
  <c r="G63" i="22" a="1"/>
  <c r="G63" i="22" s="1"/>
  <c r="G32" i="22" a="1"/>
  <c r="G32" i="22" s="1"/>
  <c r="Z72" i="22" a="1"/>
  <c r="Z72" i="22" s="1"/>
  <c r="F71" i="29" s="1"/>
  <c r="N80" i="22" a="1"/>
  <c r="N80" i="22" s="1"/>
  <c r="N95" i="22" a="1"/>
  <c r="N95" i="22" s="1"/>
  <c r="W100" i="22" a="1"/>
  <c r="W100" i="22" s="1"/>
  <c r="W86" i="22" a="1"/>
  <c r="W86" i="22" s="1"/>
  <c r="N50" i="22" a="1"/>
  <c r="N50" i="22" s="1"/>
  <c r="T74" i="22" a="1"/>
  <c r="T74" i="22" s="1"/>
  <c r="D73" i="29" s="1"/>
  <c r="U85" i="22" a="1"/>
  <c r="U85" i="22" s="1"/>
  <c r="P79" i="22" a="1"/>
  <c r="P79" i="22" s="1"/>
  <c r="P98" i="22" a="1"/>
  <c r="P98" i="22" s="1"/>
  <c r="I42" i="22" a="1"/>
  <c r="I42" i="22" s="1"/>
  <c r="E95" i="22" a="1"/>
  <c r="E95" i="22" s="1"/>
  <c r="Q15" i="22" a="1"/>
  <c r="Q15" i="22" s="1"/>
  <c r="U62" i="22" a="1"/>
  <c r="U62" i="22" s="1"/>
  <c r="G25" i="22" a="1"/>
  <c r="G25" i="22" s="1"/>
  <c r="T48" i="22" a="1"/>
  <c r="T48" i="22" s="1"/>
  <c r="G12" i="22" a="1"/>
  <c r="G12" i="22" s="1"/>
  <c r="Q85" i="22" a="1"/>
  <c r="Q85" i="22" s="1"/>
  <c r="H95" i="22" a="1"/>
  <c r="H95" i="22" s="1"/>
  <c r="S30" i="22" a="1"/>
  <c r="S30" i="22" s="1"/>
  <c r="U22" i="22" a="1"/>
  <c r="U22" i="22" s="1"/>
  <c r="J26" i="22" a="1"/>
  <c r="J26" i="22" s="1"/>
  <c r="T22" i="22" a="1"/>
  <c r="T22" i="22" s="1"/>
  <c r="D21" i="29" s="1"/>
  <c r="I55" i="22" a="1"/>
  <c r="I55" i="22" s="1"/>
  <c r="E27" i="22" a="1"/>
  <c r="E27" i="22" s="1"/>
  <c r="Z22" i="22" a="1"/>
  <c r="Z22" i="22" s="1"/>
  <c r="F21" i="29" s="1"/>
  <c r="X94" i="22" a="1"/>
  <c r="X94" i="22" s="1"/>
  <c r="Q40" i="22" a="1"/>
  <c r="Q40" i="22" s="1"/>
  <c r="M101" i="22" a="1"/>
  <c r="M101" i="22" s="1"/>
  <c r="U70" i="22" a="1"/>
  <c r="U70" i="22" s="1"/>
  <c r="I22" i="22" a="1"/>
  <c r="I22" i="22" s="1"/>
  <c r="S66" i="22" a="1"/>
  <c r="S66" i="22" s="1"/>
  <c r="X93" i="22" a="1"/>
  <c r="X93" i="22" s="1"/>
  <c r="Q13" i="22" a="1"/>
  <c r="Q13" i="22" s="1"/>
  <c r="N81" i="22" a="1"/>
  <c r="N81" i="22" s="1"/>
  <c r="N60" i="22" a="1"/>
  <c r="N60" i="22" s="1"/>
  <c r="Z86" i="22" a="1"/>
  <c r="Z86" i="22" s="1"/>
  <c r="F85" i="29" s="1"/>
  <c r="Y34" i="22" a="1"/>
  <c r="Y34" i="22" s="1"/>
  <c r="I100" i="22" a="1"/>
  <c r="I100" i="22" s="1"/>
  <c r="S16" i="22" a="1"/>
  <c r="S16" i="22" s="1"/>
  <c r="T12" i="22" a="1"/>
  <c r="T12" i="22" s="1"/>
  <c r="Z53" i="22" a="1"/>
  <c r="Z53" i="22" s="1"/>
  <c r="F52" i="29" s="1"/>
  <c r="L32" i="22" a="1"/>
  <c r="L32" i="22" s="1"/>
  <c r="Z71" i="22" a="1"/>
  <c r="Z71" i="22" s="1"/>
  <c r="F70" i="29" s="1"/>
  <c r="P15" i="22" a="1"/>
  <c r="P15" i="22" s="1"/>
  <c r="Y32" i="22" a="1"/>
  <c r="Y32" i="22" s="1"/>
  <c r="Q75" i="22" a="1"/>
  <c r="Q75" i="22" s="1"/>
  <c r="E12" i="22" a="1"/>
  <c r="E12" i="22" s="1"/>
  <c r="Q23" i="22" a="1"/>
  <c r="Q23" i="22" s="1"/>
  <c r="U73" i="22" a="1"/>
  <c r="U73" i="22" s="1"/>
  <c r="S75" i="22" a="1"/>
  <c r="S75" i="22" s="1"/>
  <c r="N94" i="22" a="1"/>
  <c r="N94" i="22" s="1"/>
  <c r="Z94" i="22" a="1"/>
  <c r="Z94" i="22" s="1"/>
  <c r="F93" i="29" s="1"/>
  <c r="H101" i="22" a="1"/>
  <c r="H101" i="22" s="1"/>
  <c r="P63" i="22" a="1"/>
  <c r="P63" i="22" s="1"/>
  <c r="Z69" i="22" a="1"/>
  <c r="Z69" i="22" s="1"/>
  <c r="F68" i="29" s="1"/>
  <c r="T41" i="22" a="1"/>
  <c r="T41" i="22" s="1"/>
  <c r="D40" i="29" s="1"/>
  <c r="T91" i="22" a="1"/>
  <c r="T91" i="22" s="1"/>
  <c r="K61" i="22" a="1"/>
  <c r="K61" i="22" s="1"/>
  <c r="T90" i="22" a="1"/>
  <c r="T90" i="22" s="1"/>
  <c r="I35" i="22" a="1"/>
  <c r="I35" i="22" s="1"/>
  <c r="N35" i="22" a="1"/>
  <c r="N35" i="22" s="1"/>
  <c r="F68" i="22" a="1"/>
  <c r="F68" i="22" s="1"/>
  <c r="K79" i="22" a="1"/>
  <c r="K79" i="22" s="1"/>
  <c r="M75" i="22" a="1"/>
  <c r="M75" i="22" s="1"/>
  <c r="O57" i="22" a="1"/>
  <c r="O57" i="22" s="1"/>
  <c r="G74" i="22" a="1"/>
  <c r="G74" i="22" s="1"/>
  <c r="P87" i="22" a="1"/>
  <c r="P87" i="22" s="1"/>
  <c r="F26" i="22" a="1"/>
  <c r="F26" i="22" s="1"/>
  <c r="N54" i="22" a="1"/>
  <c r="N54" i="22" s="1"/>
  <c r="V29" i="22" a="1"/>
  <c r="V29" i="22" s="1"/>
  <c r="J56" i="22" a="1"/>
  <c r="J56" i="22" s="1"/>
  <c r="Y78" i="22" a="1"/>
  <c r="Y78" i="22" s="1"/>
  <c r="U81" i="22" a="1"/>
  <c r="U81" i="22" s="1"/>
  <c r="L79" i="22" a="1"/>
  <c r="L79" i="22" s="1"/>
  <c r="H87" i="22" a="1"/>
  <c r="H87" i="22" s="1"/>
  <c r="V12" i="22" a="1"/>
  <c r="V12" i="22" s="1"/>
  <c r="Z101" i="22" a="1"/>
  <c r="Z101" i="22" s="1"/>
  <c r="F100" i="29" s="1"/>
  <c r="P52" i="22" a="1"/>
  <c r="P52" i="22" s="1"/>
  <c r="T24" i="22" a="1"/>
  <c r="T24" i="22" s="1"/>
  <c r="O46" i="22" a="1"/>
  <c r="O46" i="22" s="1"/>
  <c r="W12" i="22" a="1"/>
  <c r="W12" i="22" s="1"/>
  <c r="W80" i="22" a="1"/>
  <c r="W80" i="22" s="1"/>
  <c r="X80" i="22" a="1"/>
  <c r="X80" i="22" s="1"/>
  <c r="G50" i="22" a="1"/>
  <c r="G50" i="22" s="1"/>
  <c r="O97" i="22" a="1"/>
  <c r="O97" i="22" s="1"/>
  <c r="F95" i="22" a="1"/>
  <c r="F95" i="22" s="1"/>
  <c r="L93" i="22" a="1"/>
  <c r="L93" i="22" s="1"/>
  <c r="E55" i="22" a="1"/>
  <c r="E55" i="22" s="1"/>
  <c r="V90" i="22" a="1"/>
  <c r="V90" i="22" s="1"/>
  <c r="T36" i="22" a="1"/>
  <c r="T36" i="22" s="1"/>
  <c r="N71" i="22" a="1"/>
  <c r="N71" i="22" s="1"/>
  <c r="O89" i="22" a="1"/>
  <c r="O89" i="22" s="1"/>
  <c r="L92" i="22" a="1"/>
  <c r="L92" i="22" s="1"/>
  <c r="N88" i="22" a="1"/>
  <c r="N88" i="22" s="1"/>
  <c r="O65" i="22" a="1"/>
  <c r="O65" i="22" s="1"/>
  <c r="J61" i="22" a="1"/>
  <c r="J61" i="22" s="1"/>
  <c r="P94" i="22" a="1"/>
  <c r="P94" i="22" s="1"/>
  <c r="T51" i="22" a="1"/>
  <c r="T51" i="22" s="1"/>
  <c r="L31" i="22" a="1"/>
  <c r="L31" i="22" s="1"/>
  <c r="E21" i="22" a="1"/>
  <c r="E21" i="22" s="1"/>
  <c r="S22" i="22" a="1"/>
  <c r="S22" i="22" s="1"/>
  <c r="I27" i="22" a="1"/>
  <c r="I27" i="22" s="1"/>
  <c r="W19" i="22" a="1"/>
  <c r="W19" i="22" s="1"/>
  <c r="M23" i="22" a="1"/>
  <c r="M23" i="22" s="1"/>
  <c r="T18" i="22" a="1"/>
  <c r="T18" i="22" s="1"/>
  <c r="P13" i="22" a="1"/>
  <c r="P13" i="22" s="1"/>
  <c r="Z96" i="22" a="1"/>
  <c r="Z96" i="22" s="1"/>
  <c r="F95" i="29" s="1"/>
  <c r="J95" i="22" a="1"/>
  <c r="J95" i="22" s="1"/>
  <c r="Z82" i="22" a="1"/>
  <c r="Z82" i="22" s="1"/>
  <c r="F81" i="29" s="1"/>
  <c r="P80" i="22" a="1"/>
  <c r="P80" i="22" s="1"/>
  <c r="Y94" i="22" a="1"/>
  <c r="Y94" i="22" s="1"/>
  <c r="F12" i="22" a="1"/>
  <c r="F12" i="22" s="1"/>
  <c r="W83" i="22" a="1"/>
  <c r="W83" i="22" s="1"/>
  <c r="V77" i="22" a="1"/>
  <c r="V77" i="22" s="1"/>
  <c r="H81" i="22" a="1"/>
  <c r="H81" i="22" s="1"/>
  <c r="T52" i="22" a="1"/>
  <c r="T52" i="22" s="1"/>
  <c r="W70" i="22" a="1"/>
  <c r="W70" i="22" s="1"/>
  <c r="U63" i="22" a="1"/>
  <c r="U63" i="22" s="1"/>
  <c r="I77" i="22" a="1"/>
  <c r="I77" i="22" s="1"/>
  <c r="K102" i="22" a="1"/>
  <c r="K102" i="22" s="1"/>
  <c r="J20" i="22" a="1"/>
  <c r="J20" i="22" s="1"/>
  <c r="E19" i="29" s="1"/>
  <c r="X40" i="22" a="1"/>
  <c r="X40" i="22" s="1"/>
  <c r="H90" i="22" a="1"/>
  <c r="H90" i="22" s="1"/>
  <c r="O101" i="22" a="1"/>
  <c r="O101" i="22" s="1"/>
  <c r="W45" i="22" a="1"/>
  <c r="W45" i="22" s="1"/>
  <c r="V69" i="22" a="1"/>
  <c r="V69" i="22" s="1"/>
  <c r="M95" i="22" a="1"/>
  <c r="M95" i="22" s="1"/>
  <c r="I79" i="22" a="1"/>
  <c r="I79" i="22" s="1"/>
  <c r="W60" i="22" a="1"/>
  <c r="W60" i="22" s="1"/>
  <c r="S47" i="22" a="1"/>
  <c r="S47" i="22" s="1"/>
  <c r="E61" i="22" a="1"/>
  <c r="E61" i="22" s="1"/>
  <c r="P45" i="22" a="1"/>
  <c r="P45" i="22" s="1"/>
  <c r="P35" i="22" a="1"/>
  <c r="P35" i="22" s="1"/>
  <c r="U72" i="22" a="1"/>
  <c r="U72" i="22" s="1"/>
  <c r="I51" i="22" a="1"/>
  <c r="I51" i="22" s="1"/>
  <c r="T76" i="22" a="1"/>
  <c r="T76" i="22" s="1"/>
  <c r="Q42" i="22" a="1"/>
  <c r="Q42" i="22" s="1"/>
  <c r="H41" i="29" s="1"/>
  <c r="Y83" i="22" a="1"/>
  <c r="Y83" i="22" s="1"/>
  <c r="S78" i="22" a="1"/>
  <c r="S78" i="22" s="1"/>
  <c r="G47" i="22" a="1"/>
  <c r="G47" i="22" s="1"/>
  <c r="S63" i="22" a="1"/>
  <c r="S63" i="22" s="1"/>
  <c r="M96" i="22" a="1"/>
  <c r="M96" i="22" s="1"/>
  <c r="K60" i="22" a="1"/>
  <c r="K60" i="22" s="1"/>
  <c r="T99" i="22" a="1"/>
  <c r="T99" i="22" s="1"/>
  <c r="G69" i="22" a="1"/>
  <c r="G69" i="22" s="1"/>
  <c r="I99" i="22" a="1"/>
  <c r="I99" i="22" s="1"/>
  <c r="O59" i="22" a="1"/>
  <c r="O59" i="22" s="1"/>
  <c r="K43" i="22" a="1"/>
  <c r="K43" i="22" s="1"/>
  <c r="N86" i="22" a="1"/>
  <c r="N86" i="22" s="1"/>
  <c r="T88" i="22" a="1"/>
  <c r="T88" i="22" s="1"/>
  <c r="O41" i="22" a="1"/>
  <c r="O41" i="22" s="1"/>
  <c r="H43" i="22" a="1"/>
  <c r="H43" i="22" s="1"/>
  <c r="Q89" i="22" a="1"/>
  <c r="Q89" i="22" s="1"/>
  <c r="Y54" i="22" a="1"/>
  <c r="Y54" i="22" s="1"/>
  <c r="Q67" i="22" a="1"/>
  <c r="Q67" i="22" s="1"/>
  <c r="W74" i="22" a="1"/>
  <c r="W74" i="22" s="1"/>
  <c r="F99" i="22" a="1"/>
  <c r="F99" i="22" s="1"/>
  <c r="M39" i="22" a="1"/>
  <c r="M39" i="22" s="1"/>
  <c r="F62" i="22" a="1"/>
  <c r="F62" i="22" s="1"/>
  <c r="G61" i="29" s="1"/>
  <c r="K64" i="22" a="1"/>
  <c r="K64" i="22" s="1"/>
  <c r="I74" i="22" a="1"/>
  <c r="I74" i="22" s="1"/>
  <c r="K95" i="22" a="1"/>
  <c r="K95" i="22" s="1"/>
  <c r="I101" i="22" a="1"/>
  <c r="I101" i="22" s="1"/>
  <c r="U64" i="22" a="1"/>
  <c r="U64" i="22" s="1"/>
  <c r="F72" i="22" a="1"/>
  <c r="F72" i="22" s="1"/>
  <c r="V60" i="22" a="1"/>
  <c r="V60" i="22" s="1"/>
  <c r="K12" i="22" a="1"/>
  <c r="K12" i="22" s="1"/>
  <c r="J83" i="22" a="1"/>
  <c r="J83" i="22" s="1"/>
  <c r="S88" i="22" a="1"/>
  <c r="S88" i="22" s="1"/>
  <c r="S74" i="22" a="1"/>
  <c r="S74" i="22" s="1"/>
  <c r="H31" i="22" a="1"/>
  <c r="H31" i="22" s="1"/>
  <c r="S44" i="22" a="1"/>
  <c r="S44" i="22" s="1"/>
  <c r="S59" i="22" a="1"/>
  <c r="S59" i="22" s="1"/>
  <c r="G70" i="22" a="1"/>
  <c r="G70" i="22" s="1"/>
  <c r="Q74" i="22" a="1"/>
  <c r="Q74" i="22" s="1"/>
  <c r="L82" i="22" a="1"/>
  <c r="L82" i="22" s="1"/>
  <c r="J91" i="22" a="1"/>
  <c r="J91" i="22" s="1"/>
  <c r="Y88" i="22" a="1"/>
  <c r="Y88" i="22" s="1"/>
  <c r="G20" i="22" a="1"/>
  <c r="G20" i="22" s="1"/>
  <c r="X71" i="22" a="1"/>
  <c r="X71" i="22" s="1"/>
  <c r="K98" i="22" a="1"/>
  <c r="K98" i="22" s="1"/>
  <c r="Q21" i="22" a="1"/>
  <c r="Q21" i="22" s="1"/>
  <c r="H98" i="22" a="1"/>
  <c r="H98" i="22" s="1"/>
  <c r="N70" i="22" a="1"/>
  <c r="N70" i="22" s="1"/>
  <c r="G92" i="22" a="1"/>
  <c r="G92" i="22" s="1"/>
  <c r="S54" i="22" a="1"/>
  <c r="S54" i="22" s="1"/>
  <c r="Q43" i="22" a="1"/>
  <c r="Q43" i="22" s="1"/>
  <c r="O102" i="22" a="1"/>
  <c r="O102" i="22" s="1"/>
  <c r="T87" i="22" a="1"/>
  <c r="T87" i="22" s="1"/>
  <c r="K71" i="22" a="1"/>
  <c r="K71" i="22" s="1"/>
  <c r="T34" i="22" a="1"/>
  <c r="T34" i="22" s="1"/>
  <c r="M70" i="22" a="1"/>
  <c r="M70" i="22" s="1"/>
  <c r="M82" i="22" a="1"/>
  <c r="M82" i="22" s="1"/>
  <c r="F67" i="22" a="1"/>
  <c r="F67" i="22" s="1"/>
  <c r="G34" i="22" a="1"/>
  <c r="G34" i="22" s="1"/>
  <c r="U46" i="22" a="1"/>
  <c r="U46" i="22" s="1"/>
  <c r="L85" i="22" a="1"/>
  <c r="L85" i="22" s="1"/>
  <c r="V47" i="22" a="1"/>
  <c r="V47" i="22" s="1"/>
  <c r="V48" i="22" a="1"/>
  <c r="V48" i="22" s="1"/>
  <c r="X34" i="22" a="1"/>
  <c r="X34" i="22" s="1"/>
  <c r="I69" i="22" a="1"/>
  <c r="I69" i="22" s="1"/>
  <c r="J32" i="22" a="1"/>
  <c r="J32" i="22" s="1"/>
  <c r="E31" i="29" s="1"/>
  <c r="T56" i="22" a="1"/>
  <c r="T56" i="22" s="1"/>
  <c r="J102" i="22" a="1"/>
  <c r="J102" i="22" s="1"/>
  <c r="J98" i="22" a="1"/>
  <c r="J98" i="22" s="1"/>
  <c r="G81" i="22" a="1"/>
  <c r="G81" i="22" s="1"/>
  <c r="M98" i="22" a="1"/>
  <c r="M98" i="22" s="1"/>
  <c r="V67" i="22" a="1"/>
  <c r="V67" i="22" s="1"/>
  <c r="Z15" i="22" a="1"/>
  <c r="Z15" i="22" s="1"/>
  <c r="F14" i="29" s="1"/>
  <c r="T69" i="22" a="1"/>
  <c r="T69" i="22" s="1"/>
  <c r="D68" i="29" s="1"/>
  <c r="K86" i="22" a="1"/>
  <c r="K86" i="22" s="1"/>
  <c r="U99" i="22" a="1"/>
  <c r="U99" i="22" s="1"/>
  <c r="G37" i="22" a="1"/>
  <c r="G37" i="22" s="1"/>
  <c r="F44" i="22" a="1"/>
  <c r="F44" i="22" s="1"/>
  <c r="H89" i="22" a="1"/>
  <c r="H89" i="22" s="1"/>
  <c r="X79" i="22" a="1"/>
  <c r="X79" i="22" s="1"/>
  <c r="P102" i="22" a="1"/>
  <c r="P102" i="22" s="1"/>
  <c r="L76" i="22" a="1"/>
  <c r="L76" i="22" s="1"/>
  <c r="G45" i="22" a="1"/>
  <c r="G45" i="22" s="1"/>
  <c r="V93" i="22" a="1"/>
  <c r="V93" i="22" s="1"/>
  <c r="K75" i="22" a="1"/>
  <c r="K75" i="22" s="1"/>
  <c r="Y19" i="22" a="1"/>
  <c r="Y19" i="22" s="1"/>
  <c r="V64" i="22" a="1"/>
  <c r="V64" i="22" s="1"/>
  <c r="O55" i="22" a="1"/>
  <c r="O55" i="22" s="1"/>
  <c r="H78" i="22" a="1"/>
  <c r="H78" i="22" s="1"/>
  <c r="M79" i="22" a="1"/>
  <c r="M79" i="22" s="1"/>
  <c r="Z51" i="22" a="1"/>
  <c r="Z51" i="22" s="1"/>
  <c r="F50" i="29" s="1"/>
  <c r="X61" i="22" a="1"/>
  <c r="X61" i="22" s="1"/>
  <c r="X76" i="22" a="1"/>
  <c r="X76" i="22" s="1"/>
  <c r="S38" i="22" a="1"/>
  <c r="S38" i="22" s="1"/>
  <c r="V44" i="22" a="1"/>
  <c r="V44" i="22" s="1"/>
  <c r="E49" i="22" a="1"/>
  <c r="E49" i="22" s="1"/>
  <c r="E16" i="22" a="1"/>
  <c r="E16" i="22" s="1"/>
  <c r="U97" i="22" a="1"/>
  <c r="U97" i="22" s="1"/>
  <c r="S68" i="22" a="1"/>
  <c r="S68" i="22" s="1"/>
  <c r="T68" i="22" a="1"/>
  <c r="T68" i="22" s="1"/>
  <c r="U66" i="22" a="1"/>
  <c r="U66" i="22" s="1"/>
  <c r="U21" i="22" a="1"/>
  <c r="U21" i="22" s="1"/>
  <c r="X84" i="22" a="1"/>
  <c r="X84" i="22" s="1"/>
  <c r="S12" i="22" a="1"/>
  <c r="S12" i="22" s="1"/>
  <c r="O90" i="22" a="1"/>
  <c r="O90" i="22" s="1"/>
  <c r="Y15" i="22" a="1"/>
  <c r="Y15" i="22" s="1"/>
  <c r="L55" i="22" a="1"/>
  <c r="L55" i="22" s="1"/>
  <c r="Z95" i="22" a="1"/>
  <c r="Z95" i="22" s="1"/>
  <c r="F94" i="29" s="1"/>
  <c r="H59" i="22" a="1"/>
  <c r="H59" i="22" s="1"/>
  <c r="O92" i="22" a="1"/>
  <c r="O92" i="22" s="1"/>
  <c r="P50" i="22" a="1"/>
  <c r="P50" i="22" s="1"/>
  <c r="N67" i="22" a="1"/>
  <c r="N67" i="22" s="1"/>
  <c r="Z38" i="22" a="1"/>
  <c r="Z38" i="22" s="1"/>
  <c r="F37" i="29" s="1"/>
  <c r="H36" i="22" a="1"/>
  <c r="H36" i="22" s="1"/>
  <c r="T57" i="22" a="1"/>
  <c r="T57" i="22" s="1"/>
  <c r="M25" i="22" a="1"/>
  <c r="M25" i="22" s="1"/>
  <c r="U49" i="22" a="1"/>
  <c r="U49" i="22" s="1"/>
  <c r="P39" i="22" a="1"/>
  <c r="P39" i="22" s="1"/>
  <c r="Y99" i="22" a="1"/>
  <c r="Y99" i="22" s="1"/>
  <c r="U102" i="22" a="1"/>
  <c r="U102" i="22" s="1"/>
  <c r="E53" i="22" a="1"/>
  <c r="E53" i="22" s="1"/>
  <c r="Z100" i="22" a="1"/>
  <c r="Z100" i="22" s="1"/>
  <c r="F99" i="29" s="1"/>
  <c r="U13" i="22" a="1"/>
  <c r="U13" i="22" s="1"/>
  <c r="G64" i="22" a="1"/>
  <c r="G64" i="22" s="1"/>
  <c r="Q65" i="22" a="1"/>
  <c r="Q65" i="22" s="1"/>
  <c r="W23" i="22" a="1"/>
  <c r="W23" i="22" s="1"/>
  <c r="L74" i="22" a="1"/>
  <c r="L74" i="22" s="1"/>
  <c r="V52" i="22" a="1"/>
  <c r="V52" i="22" s="1"/>
  <c r="M35" i="22" a="1"/>
  <c r="M35" i="22" s="1"/>
  <c r="Q91" i="22" a="1"/>
  <c r="Q91" i="22" s="1"/>
  <c r="T81" i="22" a="1"/>
  <c r="T81" i="22" s="1"/>
  <c r="M92" i="22" a="1"/>
  <c r="M92" i="22" s="1"/>
  <c r="P12" i="22" a="1"/>
  <c r="P12" i="22" s="1"/>
  <c r="J48" i="22" a="1"/>
  <c r="J48" i="22" s="1"/>
  <c r="Q62" i="22" a="1"/>
  <c r="Q62" i="22" s="1"/>
  <c r="X45" i="22" a="1"/>
  <c r="X45" i="22" s="1"/>
  <c r="F54" i="22" a="1"/>
  <c r="F54" i="22" s="1"/>
  <c r="N87" i="22" a="1"/>
  <c r="N87" i="22" s="1"/>
  <c r="T28" i="22" a="1"/>
  <c r="T28" i="22" s="1"/>
  <c r="W96" i="22" a="1"/>
  <c r="W96" i="22" s="1"/>
  <c r="Q49" i="22" a="1"/>
  <c r="Q49" i="22" s="1"/>
  <c r="E101" i="22" a="1"/>
  <c r="E101" i="22" s="1"/>
  <c r="V59" i="22" a="1"/>
  <c r="V59" i="22" s="1"/>
  <c r="U28" i="22" a="1"/>
  <c r="U28" i="22" s="1"/>
  <c r="V72" i="22" a="1"/>
  <c r="V72" i="22" s="1"/>
  <c r="P95" i="22" a="1"/>
  <c r="P95" i="22" s="1"/>
  <c r="L95" i="22" a="1"/>
  <c r="L95" i="22" s="1"/>
  <c r="I92" i="22" a="1"/>
  <c r="I92" i="22" s="1"/>
  <c r="P61" i="22" a="1"/>
  <c r="P61" i="22" s="1"/>
  <c r="N63" i="22" a="1"/>
  <c r="N63" i="22" s="1"/>
  <c r="J82" i="22" a="1"/>
  <c r="J82" i="22" s="1"/>
  <c r="Z48" i="22" a="1"/>
  <c r="Z48" i="22" s="1"/>
  <c r="F47" i="29" s="1"/>
  <c r="Z88" i="22" a="1"/>
  <c r="Z88" i="22" s="1"/>
  <c r="F87" i="29" s="1"/>
  <c r="X12" i="22" a="1"/>
  <c r="X12" i="22" s="1"/>
  <c r="E52" i="22" a="1"/>
  <c r="E52" i="22" s="1"/>
  <c r="T71" i="22" a="1"/>
  <c r="T71" i="22" s="1"/>
  <c r="V26" i="22" a="1"/>
  <c r="V26" i="22" s="1"/>
  <c r="S98" i="22" a="1"/>
  <c r="S98" i="22" s="1"/>
  <c r="X100" i="22" a="1"/>
  <c r="X100" i="22" s="1"/>
  <c r="U32" i="22" a="1"/>
  <c r="U32" i="22" s="1"/>
  <c r="K67" i="22" a="1"/>
  <c r="K67" i="22" s="1"/>
  <c r="V78" i="22" a="1"/>
  <c r="V78" i="22" s="1"/>
  <c r="K66" i="22" a="1"/>
  <c r="K66" i="22" s="1"/>
  <c r="L99" i="22" a="1"/>
  <c r="L99" i="22" s="1"/>
  <c r="Y61" i="22" a="1"/>
  <c r="Y61" i="22" s="1"/>
  <c r="L75" i="22" a="1"/>
  <c r="L75" i="22" s="1"/>
  <c r="O27" i="22" a="1"/>
  <c r="O27" i="22" s="1"/>
  <c r="O38" i="22" a="1"/>
  <c r="O38" i="22" s="1"/>
  <c r="H85" i="22" a="1"/>
  <c r="H85" i="22" s="1"/>
  <c r="S92" i="22" a="1"/>
  <c r="S92" i="22" s="1"/>
  <c r="Q73" i="22" a="1"/>
  <c r="Q73" i="22" s="1"/>
  <c r="H72" i="29" s="1"/>
  <c r="M54" i="22" a="1"/>
  <c r="M54" i="22" s="1"/>
  <c r="E99" i="22" a="1"/>
  <c r="E99" i="22" s="1"/>
  <c r="W51" i="22" a="1"/>
  <c r="W51" i="22" s="1"/>
  <c r="Y40" i="22" a="1"/>
  <c r="Y40" i="22" s="1"/>
  <c r="Q45" i="22" a="1"/>
  <c r="Q45" i="22" s="1"/>
  <c r="S53" i="22" a="1"/>
  <c r="S53" i="22" s="1"/>
  <c r="G99" i="22" a="1"/>
  <c r="G99" i="22" s="1"/>
  <c r="E62" i="22" a="1"/>
  <c r="E62" i="22" s="1"/>
  <c r="G83" i="22" a="1"/>
  <c r="G83" i="22" s="1"/>
  <c r="E89" i="22" a="1"/>
  <c r="E89" i="22" s="1"/>
  <c r="Q99" i="22" a="1"/>
  <c r="Q99" i="22" s="1"/>
  <c r="N99" i="22" a="1"/>
  <c r="N99" i="22" s="1"/>
  <c r="H12" i="22" a="1"/>
  <c r="H12" i="22" s="1"/>
  <c r="H17" i="22" s="1"/>
  <c r="P72" i="22" a="1"/>
  <c r="P72" i="22" s="1"/>
  <c r="M65" i="22" a="1"/>
  <c r="M65" i="22" s="1"/>
  <c r="U38" i="22" a="1"/>
  <c r="U38" i="22" s="1"/>
  <c r="V43" i="22" a="1"/>
  <c r="V43" i="22" s="1"/>
  <c r="F50" i="22" a="1"/>
  <c r="F50" i="22" s="1"/>
  <c r="G49" i="29" s="1"/>
  <c r="J59" i="22" a="1"/>
  <c r="J59" i="22" s="1"/>
  <c r="E58" i="29" s="1"/>
  <c r="K77" i="22" a="1"/>
  <c r="K77" i="22" s="1"/>
  <c r="H80" i="22" a="1"/>
  <c r="H80" i="22" s="1"/>
  <c r="J76" i="22" a="1"/>
  <c r="J76" i="22" s="1"/>
  <c r="S45" i="22" a="1"/>
  <c r="S45" i="22" s="1"/>
  <c r="O22" i="22" a="1"/>
  <c r="O22" i="22" s="1"/>
  <c r="V39" i="22" a="1"/>
  <c r="V39" i="22" s="1"/>
  <c r="O44" i="22" a="1"/>
  <c r="O44" i="22" s="1"/>
  <c r="J71" i="22" a="1"/>
  <c r="J71" i="22" s="1"/>
  <c r="E70" i="29" s="1"/>
  <c r="P55" i="22" a="1"/>
  <c r="P55" i="22" s="1"/>
  <c r="V83" i="22" a="1"/>
  <c r="V83" i="22" s="1"/>
  <c r="H40" i="22" a="1"/>
  <c r="H40" i="22" s="1"/>
  <c r="K80" i="22" a="1"/>
  <c r="K80" i="22" s="1"/>
  <c r="X90" i="22" a="1"/>
  <c r="X90" i="22" s="1"/>
  <c r="T42" i="22" a="1"/>
  <c r="T42" i="22" s="1"/>
  <c r="L91" i="22" a="1"/>
  <c r="L91" i="22" s="1"/>
  <c r="P21" i="22" a="1"/>
  <c r="P21" i="22" s="1"/>
  <c r="K51" i="22" a="1"/>
  <c r="K51" i="22" s="1"/>
  <c r="G102" i="22" a="1"/>
  <c r="G102" i="22" s="1"/>
  <c r="U82" i="22" a="1"/>
  <c r="U82" i="22" s="1"/>
  <c r="H96" i="22" a="1"/>
  <c r="H96" i="22" s="1"/>
  <c r="S71" i="22" a="1"/>
  <c r="S71" i="22" s="1"/>
  <c r="O45" i="22" a="1"/>
  <c r="O45" i="22" s="1"/>
  <c r="T98" i="22" a="1"/>
  <c r="T98" i="22" s="1"/>
  <c r="L70" i="22" a="1"/>
  <c r="L70" i="22" s="1"/>
  <c r="Y92" i="22" a="1"/>
  <c r="Y92" i="22" s="1"/>
  <c r="X15" i="22" a="1"/>
  <c r="X15" i="22" s="1"/>
  <c r="J21" i="22" a="1"/>
  <c r="J21" i="22" s="1"/>
  <c r="E20" i="29" s="1"/>
  <c r="M78" i="22" a="1"/>
  <c r="M78" i="22" s="1"/>
  <c r="K22" i="22" a="1"/>
  <c r="K22" i="22" s="1"/>
  <c r="Z77" i="22" a="1"/>
  <c r="Z77" i="22" s="1"/>
  <c r="F76" i="29" s="1"/>
  <c r="K89" i="22" a="1"/>
  <c r="K89" i="22" s="1"/>
  <c r="O16" i="22" a="1"/>
  <c r="O16" i="22" s="1"/>
  <c r="H97" i="22" a="1"/>
  <c r="H97" i="22" s="1"/>
  <c r="I83" i="22" a="1"/>
  <c r="I83" i="22" s="1"/>
  <c r="E67" i="22" a="1"/>
  <c r="E67" i="22" s="1"/>
  <c r="S48" i="22" a="1"/>
  <c r="S48" i="22" s="1"/>
  <c r="J15" i="22" a="1"/>
  <c r="J15" i="22" s="1"/>
  <c r="E14" i="29" s="1"/>
  <c r="W48" i="22" a="1"/>
  <c r="W48" i="22" s="1"/>
  <c r="Z52" i="22" a="1"/>
  <c r="Z52" i="22" s="1"/>
  <c r="F51" i="29" s="1"/>
  <c r="L68" i="22" a="1"/>
  <c r="L68" i="22" s="1"/>
  <c r="P60" i="22" a="1"/>
  <c r="P60" i="22" s="1"/>
  <c r="I102" i="22" a="1"/>
  <c r="I102" i="22" s="1"/>
  <c r="L101" i="22" a="1"/>
  <c r="L101" i="22" s="1"/>
  <c r="F92" i="22" a="1"/>
  <c r="F92" i="22" s="1"/>
  <c r="G91" i="29" s="1"/>
  <c r="L19" i="22" a="1"/>
  <c r="L19" i="22" s="1"/>
  <c r="V68" i="22" a="1"/>
  <c r="V68" i="22" s="1"/>
  <c r="P88" i="22" a="1"/>
  <c r="P88" i="22" s="1"/>
  <c r="O18" i="22" a="1"/>
  <c r="O18" i="22" s="1"/>
  <c r="V81" i="22" a="1"/>
  <c r="V81" i="22" s="1"/>
  <c r="P59" i="22" a="1"/>
  <c r="P59" i="22" s="1"/>
  <c r="J54" i="22" a="1"/>
  <c r="J54" i="22" s="1"/>
  <c r="T86" i="22" a="1"/>
  <c r="T86" i="22" s="1"/>
  <c r="E87" i="22" a="1"/>
  <c r="E87" i="22" s="1"/>
  <c r="K47" i="22" a="1"/>
  <c r="K47" i="22" s="1"/>
  <c r="W56" i="22" a="1"/>
  <c r="W56" i="22" s="1"/>
  <c r="J74" i="22" a="1"/>
  <c r="J74" i="22" s="1"/>
  <c r="O76" i="22" a="1"/>
  <c r="O76" i="22" s="1"/>
  <c r="L84" i="22" a="1"/>
  <c r="L84" i="22" s="1"/>
  <c r="M57" i="22" a="1"/>
  <c r="M57" i="22" s="1"/>
  <c r="E93" i="22" a="1"/>
  <c r="E93" i="22" s="1"/>
  <c r="F93" i="22" a="1"/>
  <c r="F93" i="22" s="1"/>
  <c r="K62" i="22" a="1"/>
  <c r="K62" i="22" s="1"/>
  <c r="E60" i="22" a="1"/>
  <c r="E60" i="22" s="1"/>
  <c r="Q30" i="22" a="1"/>
  <c r="Q30" i="22" s="1"/>
  <c r="T94" i="22" a="1"/>
  <c r="T94" i="22" s="1"/>
  <c r="K92" i="22" a="1"/>
  <c r="K92" i="22" s="1"/>
  <c r="T80" i="22" a="1"/>
  <c r="T80" i="22" s="1"/>
  <c r="T49" i="22" a="1"/>
  <c r="T49" i="22" s="1"/>
  <c r="K91" i="22" a="1"/>
  <c r="K91" i="22" s="1"/>
  <c r="P24" i="22" a="1"/>
  <c r="P24" i="22" s="1"/>
  <c r="M18" i="22" a="1"/>
  <c r="M18" i="22" s="1"/>
  <c r="P101" i="22" a="1"/>
  <c r="P101" i="22" s="1"/>
  <c r="N101" i="22" a="1"/>
  <c r="N101" i="22" s="1"/>
  <c r="O62" i="22" a="1"/>
  <c r="O62" i="22" s="1"/>
  <c r="G59" i="22" a="1"/>
  <c r="G59" i="22" s="1"/>
  <c r="L67" i="22" a="1"/>
  <c r="L67" i="22" s="1"/>
  <c r="L86" i="22" a="1"/>
  <c r="L86" i="22" s="1"/>
  <c r="Z20" i="22" a="1"/>
  <c r="Z20" i="22" s="1"/>
  <c r="F19" i="29" s="1"/>
  <c r="P18" i="22" a="1"/>
  <c r="P18" i="22" s="1"/>
  <c r="F47" i="22" a="1"/>
  <c r="F47" i="22" s="1"/>
  <c r="G65" i="22" a="1"/>
  <c r="G65" i="22" s="1"/>
  <c r="Z67" i="22" a="1"/>
  <c r="Z67" i="22" s="1"/>
  <c r="F66" i="29" s="1"/>
  <c r="F64" i="22" a="1"/>
  <c r="F64" i="22" s="1"/>
  <c r="M42" i="22" a="1"/>
  <c r="M42" i="22" s="1"/>
  <c r="H32" i="22" a="1"/>
  <c r="H32" i="22" s="1"/>
  <c r="N102" i="22" a="1"/>
  <c r="N102" i="22" s="1"/>
  <c r="G93" i="22" a="1"/>
  <c r="G93" i="22" s="1"/>
  <c r="I89" i="22" a="1"/>
  <c r="I89" i="22" s="1"/>
  <c r="P58" i="22" a="1"/>
  <c r="P58" i="22" s="1"/>
  <c r="T59" i="22" a="1"/>
  <c r="T59" i="22" s="1"/>
  <c r="D58" i="29" s="1"/>
  <c r="G86" i="22" a="1"/>
  <c r="G86" i="22" s="1"/>
  <c r="E92" i="22" a="1"/>
  <c r="E92" i="22" s="1"/>
  <c r="Z85" i="22" a="1"/>
  <c r="Z85" i="22" s="1"/>
  <c r="F84" i="29" s="1"/>
  <c r="J58" i="22" a="1"/>
  <c r="J58" i="22" s="1"/>
  <c r="V100" i="22" a="1"/>
  <c r="V100" i="22" s="1"/>
  <c r="I56" i="22" a="1"/>
  <c r="I56" i="22" s="1"/>
  <c r="J100" i="22" a="1"/>
  <c r="J100" i="22" s="1"/>
  <c r="K19" i="22" a="1"/>
  <c r="K19" i="22" s="1"/>
  <c r="T66" i="22" a="1"/>
  <c r="T66" i="22" s="1"/>
  <c r="I58" i="22" a="1"/>
  <c r="I58" i="22" s="1"/>
  <c r="I70" i="22" a="1"/>
  <c r="I70" i="22" s="1"/>
  <c r="X54" i="22" a="1"/>
  <c r="X54" i="22" s="1"/>
  <c r="K68" i="22" a="1"/>
  <c r="K68" i="22" s="1"/>
  <c r="J99" i="22" a="1"/>
  <c r="J99" i="22" s="1"/>
  <c r="H73" i="22" a="1"/>
  <c r="H73" i="22" s="1"/>
  <c r="G15" i="22" a="1"/>
  <c r="G15" i="22" s="1"/>
  <c r="N13" i="22" a="1"/>
  <c r="N13" i="22" s="1"/>
  <c r="M71" i="22" a="1"/>
  <c r="M71" i="22" s="1"/>
  <c r="E57" i="22" a="1"/>
  <c r="E57" i="22" s="1"/>
  <c r="M80" i="22" a="1"/>
  <c r="M80" i="22" s="1"/>
  <c r="Y90" i="22" a="1"/>
  <c r="Y90" i="22" s="1"/>
  <c r="F90" i="22" a="1"/>
  <c r="F90" i="22" s="1"/>
  <c r="F86" i="22" a="1"/>
  <c r="F86" i="22" s="1"/>
  <c r="V57" i="22" a="1"/>
  <c r="V57" i="22" s="1"/>
  <c r="O21" i="22" a="1"/>
  <c r="O21" i="22" s="1"/>
  <c r="O79" i="22" a="1"/>
  <c r="O79" i="22" s="1"/>
  <c r="Z90" i="22" a="1"/>
  <c r="Z90" i="22" s="1"/>
  <c r="F89" i="29" s="1"/>
  <c r="O78" i="22" a="1"/>
  <c r="O78" i="22" s="1"/>
  <c r="U56" i="22" a="1"/>
  <c r="U56" i="22" s="1"/>
  <c r="E74" i="22" a="1"/>
  <c r="E74" i="22" s="1"/>
  <c r="Z98" i="22" a="1"/>
  <c r="Z98" i="22" s="1"/>
  <c r="F97" i="29" s="1"/>
  <c r="K101" i="22" a="1"/>
  <c r="K101" i="22" s="1"/>
  <c r="O93" i="22" a="1"/>
  <c r="O93" i="22" s="1"/>
  <c r="Z76" i="22" a="1"/>
  <c r="Z76" i="22" s="1"/>
  <c r="F75" i="29" s="1"/>
  <c r="T67" i="22" a="1"/>
  <c r="T67" i="22" s="1"/>
  <c r="L90" i="22" a="1"/>
  <c r="L90" i="22" s="1"/>
  <c r="H64" i="22" a="1"/>
  <c r="H64" i="22" s="1"/>
  <c r="M86" i="22" a="1"/>
  <c r="M86" i="22" s="1"/>
  <c r="Q86" i="22" a="1"/>
  <c r="Q86" i="22" s="1"/>
  <c r="Y76" i="22" a="1"/>
  <c r="Y76" i="22" s="1"/>
  <c r="J84" i="22" a="1"/>
  <c r="J84" i="22" s="1"/>
  <c r="V16" i="22" a="1"/>
  <c r="V16" i="22" s="1"/>
  <c r="E81" i="22" a="1"/>
  <c r="E81" i="22" s="1"/>
  <c r="F80" i="22" a="1"/>
  <c r="F80" i="22" s="1"/>
  <c r="H76" i="22" a="1"/>
  <c r="H76" i="22" s="1"/>
  <c r="U76" i="22" a="1"/>
  <c r="U76" i="22" s="1"/>
  <c r="U96" i="22" a="1"/>
  <c r="U96" i="22" s="1"/>
  <c r="J22" i="22" a="1"/>
  <c r="J22" i="22" s="1"/>
  <c r="E21" i="29" s="1"/>
  <c r="F100" i="22" a="1"/>
  <c r="F100" i="22" s="1"/>
  <c r="Y86" i="22" a="1"/>
  <c r="Y86" i="22" s="1"/>
  <c r="K85" i="22" a="1"/>
  <c r="K85" i="22" s="1"/>
  <c r="X82" i="22" a="1"/>
  <c r="X82" i="22" s="1"/>
  <c r="Y100" i="22" a="1"/>
  <c r="Y100" i="22" s="1"/>
  <c r="Q71" i="22" a="1"/>
  <c r="Q71" i="22" s="1"/>
  <c r="O26" i="22" a="1"/>
  <c r="O26" i="22" s="1"/>
  <c r="T72" i="22" a="1"/>
  <c r="T72" i="22" s="1"/>
  <c r="D71" i="29" s="1"/>
  <c r="V96" i="22" a="1"/>
  <c r="V96" i="22" s="1"/>
  <c r="K78" i="22" a="1"/>
  <c r="K78" i="22" s="1"/>
  <c r="G29" i="22" a="1"/>
  <c r="G29" i="22" s="1"/>
  <c r="Y38" i="22" a="1"/>
  <c r="Y38" i="22" s="1"/>
  <c r="G26" i="22" a="1"/>
  <c r="G26" i="22" s="1"/>
  <c r="Q79" i="22" a="1"/>
  <c r="Q79" i="22" s="1"/>
  <c r="Y79" i="22" a="1"/>
  <c r="Y79" i="22" s="1"/>
  <c r="Y98" i="22" a="1"/>
  <c r="Y98" i="22" s="1"/>
  <c r="U37" i="22" a="1"/>
  <c r="U37" i="22" s="1"/>
  <c r="K96" i="22" a="1"/>
  <c r="K96" i="22" s="1"/>
  <c r="U30" i="22" a="1"/>
  <c r="U30" i="22" s="1"/>
  <c r="S94" i="22" a="1"/>
  <c r="S94" i="22" s="1"/>
  <c r="W102" i="22" a="1"/>
  <c r="W102" i="22" s="1"/>
  <c r="J72" i="22" a="1"/>
  <c r="J72" i="22" s="1"/>
  <c r="T31" i="22" a="1"/>
  <c r="T31" i="22" s="1"/>
  <c r="U27" i="22" a="1"/>
  <c r="U27" i="22" s="1"/>
  <c r="V84" i="22" a="1"/>
  <c r="V84" i="22" s="1"/>
  <c r="F83" i="22" a="1"/>
  <c r="F83" i="22" s="1"/>
  <c r="V70" i="22" a="1"/>
  <c r="V70" i="22" s="1"/>
  <c r="N45" i="22" a="1"/>
  <c r="N45" i="22" s="1"/>
  <c r="Y51" i="22" a="1"/>
  <c r="Y51" i="22" s="1"/>
  <c r="K94" i="22" a="1"/>
  <c r="K94" i="22" s="1"/>
  <c r="J69" i="22" a="1"/>
  <c r="J69" i="22" s="1"/>
  <c r="U101" i="22" a="1"/>
  <c r="U101" i="22" s="1"/>
  <c r="Z99" i="22" a="1"/>
  <c r="Z99" i="22" s="1"/>
  <c r="F98" i="29" s="1"/>
  <c r="H86" i="22" a="1"/>
  <c r="H86" i="22" s="1"/>
  <c r="E102" i="22" a="1"/>
  <c r="E102" i="22" s="1"/>
  <c r="W52" i="22" a="1"/>
  <c r="W52" i="22" s="1"/>
  <c r="Y77" i="22" a="1"/>
  <c r="Y77" i="22" s="1"/>
  <c r="N83" i="22" a="1"/>
  <c r="N83" i="22" s="1"/>
  <c r="M93" i="22" a="1"/>
  <c r="M93" i="22" s="1"/>
  <c r="X96" i="22" a="1"/>
  <c r="X96" i="22" s="1"/>
  <c r="N97" i="22" a="1"/>
  <c r="N97" i="22" s="1"/>
  <c r="J75" i="22" a="1"/>
  <c r="J75" i="22" s="1"/>
  <c r="W82" i="22" a="1"/>
  <c r="W82" i="22" s="1"/>
  <c r="S84" i="22" a="1"/>
  <c r="S84" i="22" s="1"/>
  <c r="P93" i="22" a="1"/>
  <c r="P93" i="22" s="1"/>
  <c r="W88" i="22" a="1"/>
  <c r="W88" i="22" s="1"/>
  <c r="S101" i="22" a="1"/>
  <c r="S101" i="22" s="1"/>
  <c r="N36" i="22" a="1"/>
  <c r="N36" i="22" s="1"/>
  <c r="Y43" i="22" a="1"/>
  <c r="Y43" i="22" s="1"/>
  <c r="L83" i="22" a="1"/>
  <c r="L83" i="22" s="1"/>
  <c r="H83" i="22" a="1"/>
  <c r="H83" i="22" s="1"/>
  <c r="E80" i="22" a="1"/>
  <c r="E80" i="22" s="1"/>
  <c r="L49" i="22" a="1"/>
  <c r="L49" i="22" s="1"/>
  <c r="T44" i="22" a="1"/>
  <c r="T44" i="22" s="1"/>
  <c r="D43" i="29" s="1"/>
  <c r="Z93" i="22" a="1"/>
  <c r="Z93" i="22" s="1"/>
  <c r="U71" i="22" a="1"/>
  <c r="U71" i="22" s="1"/>
  <c r="N66" i="22" a="1"/>
  <c r="N66" i="22" s="1"/>
  <c r="X98" i="22" a="1"/>
  <c r="X98" i="22" s="1"/>
  <c r="N98" i="22" a="1"/>
  <c r="N98" i="22" s="1"/>
  <c r="X57" i="22" a="1"/>
  <c r="X57" i="22" s="1"/>
  <c r="P27" i="22" a="1"/>
  <c r="P27" i="22" s="1"/>
  <c r="L97" i="22" a="1"/>
  <c r="L97" i="22" s="1"/>
  <c r="Q46" i="22" a="1"/>
  <c r="Q46" i="22" s="1"/>
  <c r="G55" i="22" a="1"/>
  <c r="G55" i="22" s="1"/>
  <c r="G54" i="22" a="1"/>
  <c r="G54" i="22" s="1"/>
  <c r="F74" i="22" a="1"/>
  <c r="F74" i="22" s="1"/>
  <c r="F89" i="22" a="1"/>
  <c r="F89" i="22" s="1"/>
  <c r="G88" i="29" s="1"/>
  <c r="L77" i="22" a="1"/>
  <c r="L77" i="22" s="1"/>
  <c r="I61" i="22" a="1"/>
  <c r="I61" i="22" s="1"/>
  <c r="W97" i="22" a="1"/>
  <c r="W97" i="22" s="1"/>
  <c r="J73" i="22" a="1"/>
  <c r="J73" i="22" s="1"/>
  <c r="J88" i="22" a="1"/>
  <c r="J88" i="22" s="1"/>
  <c r="Y72" i="22" a="1"/>
  <c r="Y72" i="22" s="1"/>
  <c r="J81" i="22" a="1"/>
  <c r="J81" i="22" s="1"/>
  <c r="W47" i="22" a="1"/>
  <c r="W47" i="22" s="1"/>
  <c r="X91" i="22" a="1"/>
  <c r="X91" i="22" s="1"/>
  <c r="O82" i="22" a="1"/>
  <c r="O82" i="22" s="1"/>
  <c r="G80" i="22" a="1"/>
  <c r="G80" i="22" s="1"/>
  <c r="Q98" i="22" a="1"/>
  <c r="Q98" i="22" s="1"/>
  <c r="H97" i="29" s="1"/>
  <c r="S95" i="22" a="1"/>
  <c r="S95" i="22" s="1"/>
  <c r="F71" i="22" a="1"/>
  <c r="F71" i="22" s="1"/>
  <c r="G70" i="29" s="1"/>
  <c r="N76" i="22" a="1"/>
  <c r="N76" i="22" s="1"/>
  <c r="N62" i="22" a="1"/>
  <c r="N62" i="22" s="1"/>
  <c r="E97" i="22" a="1"/>
  <c r="E97" i="22" s="1"/>
  <c r="L60" i="22" a="1"/>
  <c r="L60" i="22" s="1"/>
  <c r="I53" i="22" a="1"/>
  <c r="I53" i="22" s="1"/>
  <c r="K56" i="22" a="1"/>
  <c r="K56" i="22" s="1"/>
  <c r="I97" i="22" a="1"/>
  <c r="I97" i="22" s="1"/>
  <c r="U15" i="22" a="1"/>
  <c r="U15" i="22" s="1"/>
  <c r="U35" i="22" a="1"/>
  <c r="U35" i="22" s="1"/>
  <c r="J40" i="22" a="1"/>
  <c r="J40" i="22" s="1"/>
  <c r="T38" i="22" a="1"/>
  <c r="T38" i="22" s="1"/>
  <c r="X39" i="22" a="1"/>
  <c r="X39" i="22" s="1"/>
  <c r="F39" i="22" a="1"/>
  <c r="F39" i="22" s="1"/>
  <c r="G38" i="29" s="1"/>
  <c r="O69" i="22" a="1"/>
  <c r="O69" i="22" s="1"/>
  <c r="L12" i="22" a="1"/>
  <c r="L12" i="22" s="1"/>
  <c r="O60" i="22" a="1"/>
  <c r="O60" i="22" s="1"/>
  <c r="G66" i="22" a="1"/>
  <c r="G66" i="22" s="1"/>
  <c r="X88" i="22" a="1"/>
  <c r="X88" i="22" s="1"/>
  <c r="J24" i="22" a="1"/>
  <c r="J24" i="22" s="1"/>
  <c r="E23" i="29" s="1"/>
  <c r="O95" i="22" a="1"/>
  <c r="O95" i="22" s="1"/>
  <c r="H70" i="22" a="1"/>
  <c r="H70" i="22" s="1"/>
  <c r="F79" i="22" a="1"/>
  <c r="F79" i="22" s="1"/>
  <c r="U47" i="22" a="1"/>
  <c r="U47" i="22" s="1"/>
  <c r="H79" i="22" a="1"/>
  <c r="H79" i="22" s="1"/>
  <c r="U34" i="22" a="1"/>
  <c r="U34" i="22" s="1"/>
  <c r="Q28" i="22" a="1"/>
  <c r="Q28" i="22" s="1"/>
  <c r="S91" i="22" a="1"/>
  <c r="S91" i="22" s="1"/>
  <c r="Y89" i="22" a="1"/>
  <c r="Y89" i="22" s="1"/>
  <c r="Q82" i="22" a="1"/>
  <c r="Q82" i="22" s="1"/>
  <c r="H81" i="29" s="1"/>
  <c r="O24" i="22" a="1"/>
  <c r="O24" i="22" s="1"/>
  <c r="W81" i="22" a="1"/>
  <c r="W81" i="22" s="1"/>
  <c r="X97" i="22" a="1"/>
  <c r="X97" i="22" s="1"/>
  <c r="K63" i="22" a="1"/>
  <c r="K63" i="22" s="1"/>
  <c r="Q44" i="22" a="1"/>
  <c r="Q44" i="22" s="1"/>
  <c r="H58" i="22" a="1"/>
  <c r="H58" i="22" s="1"/>
  <c r="U80" i="22" a="1"/>
  <c r="U80" i="22" s="1"/>
  <c r="F29" i="22" a="1"/>
  <c r="F29" i="22" s="1"/>
  <c r="X49" i="22" a="1"/>
  <c r="X49" i="22" s="1"/>
  <c r="N34" i="22" a="1"/>
  <c r="N34" i="22" s="1"/>
  <c r="Q50" i="22" a="1"/>
  <c r="Q50" i="22" s="1"/>
  <c r="J13" i="22" a="1"/>
  <c r="J13" i="22" s="1"/>
  <c r="V65" i="22" a="1"/>
  <c r="V65" i="22" s="1"/>
  <c r="G77" i="22" a="1"/>
  <c r="G77" i="22" s="1"/>
  <c r="L18" i="22" a="1"/>
  <c r="L18" i="22" s="1"/>
  <c r="Q16" i="22" a="1"/>
  <c r="Q16" i="22" s="1"/>
  <c r="E71" i="22" a="1"/>
  <c r="E71" i="22" s="1"/>
  <c r="I70" i="29" s="1"/>
  <c r="W54" i="22" a="1"/>
  <c r="W54" i="22" s="1"/>
  <c r="M100" i="22" a="1"/>
  <c r="M100" i="22" s="1"/>
  <c r="N28" i="22" a="1"/>
  <c r="N28" i="22" s="1"/>
  <c r="Y68" i="22" a="1"/>
  <c r="Y68" i="22" s="1"/>
  <c r="I86" i="22" a="1"/>
  <c r="I86" i="22" s="1"/>
  <c r="M56" i="22" a="1"/>
  <c r="M56" i="22" s="1"/>
  <c r="H29" i="22" a="1"/>
  <c r="H29" i="22" s="1"/>
  <c r="M88" i="22" a="1"/>
  <c r="M88" i="22" s="1"/>
  <c r="J25" i="22" a="1"/>
  <c r="J25" i="22" s="1"/>
  <c r="E24" i="29" s="1"/>
  <c r="V101" i="22" a="1"/>
  <c r="V101" i="22" s="1"/>
  <c r="I90" i="22" a="1"/>
  <c r="I90" i="22" s="1"/>
  <c r="W77" i="22" a="1"/>
  <c r="W77" i="22" s="1"/>
  <c r="T30" i="22" a="1"/>
  <c r="T30" i="22" s="1"/>
  <c r="D29" i="29" s="1"/>
  <c r="Q38" i="22" a="1"/>
  <c r="Q38" i="22" s="1"/>
  <c r="Q55" i="22" a="1"/>
  <c r="Q55" i="22" s="1"/>
  <c r="O74" i="22" a="1"/>
  <c r="O74" i="22" s="1"/>
  <c r="E64" i="22" a="1"/>
  <c r="E64" i="22" s="1"/>
  <c r="O61" i="22" a="1"/>
  <c r="O61" i="22" s="1"/>
  <c r="M77" i="22" a="1"/>
  <c r="M77" i="22" s="1"/>
  <c r="W65" i="22" a="1"/>
  <c r="W65" i="22" s="1"/>
  <c r="N53" i="22" a="1"/>
  <c r="N53" i="22" s="1"/>
  <c r="O85" i="22" a="1"/>
  <c r="O85" i="22" s="1"/>
  <c r="G57" i="22" a="1"/>
  <c r="G57" i="22" s="1"/>
  <c r="F15" i="22" a="1"/>
  <c r="F15" i="22" s="1"/>
  <c r="J31" i="22" a="1"/>
  <c r="J31" i="22" s="1"/>
  <c r="U18" i="22" a="1"/>
  <c r="U18" i="22" s="1"/>
  <c r="Z29" i="22" a="1"/>
  <c r="Z29" i="22" s="1"/>
  <c r="F28" i="29" s="1"/>
  <c r="W68" i="22" a="1"/>
  <c r="W68" i="22" s="1"/>
  <c r="X67" i="22" a="1"/>
  <c r="X67" i="22" s="1"/>
  <c r="Z63" i="22" a="1"/>
  <c r="Z63" i="22" s="1"/>
  <c r="F62" i="29" s="1"/>
  <c r="U44" i="22" a="1"/>
  <c r="U44" i="22" s="1"/>
  <c r="I29" i="22" a="1"/>
  <c r="I29" i="22" s="1"/>
  <c r="P85" i="22" a="1"/>
  <c r="P85" i="22" s="1"/>
  <c r="N56" i="22" a="1"/>
  <c r="N56" i="22" s="1"/>
  <c r="O56" i="22" a="1"/>
  <c r="O56" i="22" s="1"/>
  <c r="O42" i="22" a="1"/>
  <c r="O42" i="22" s="1"/>
  <c r="J89" i="22" a="1"/>
  <c r="J89" i="22" s="1"/>
  <c r="Q100" i="22" a="1"/>
  <c r="Q100" i="22" s="1"/>
  <c r="H99" i="29" s="1"/>
  <c r="G40" i="22" a="1"/>
  <c r="G40" i="22" s="1"/>
  <c r="H55" i="22" a="1"/>
  <c r="H55" i="22" s="1"/>
  <c r="H74" i="22" a="1"/>
  <c r="H74" i="22" s="1"/>
  <c r="H34" i="22" a="1"/>
  <c r="H34" i="22" s="1"/>
  <c r="K27" i="22" a="1"/>
  <c r="K27" i="22" s="1"/>
  <c r="G28" i="22" a="1"/>
  <c r="G28" i="22" s="1"/>
  <c r="E94" i="22" a="1"/>
  <c r="E94" i="22" s="1"/>
  <c r="I48" i="22" a="1"/>
  <c r="I48" i="22" s="1"/>
  <c r="L69" i="22" a="1"/>
  <c r="L69" i="22" s="1"/>
  <c r="I80" i="22" a="1"/>
  <c r="I80" i="22" s="1"/>
  <c r="W84" i="22" a="1"/>
  <c r="W84" i="22" s="1"/>
  <c r="H48" i="22" a="1"/>
  <c r="H48" i="22" s="1"/>
  <c r="Q32" i="22" a="1"/>
  <c r="Q32" i="22" s="1"/>
  <c r="K39" i="22" a="1"/>
  <c r="K39" i="22" s="1"/>
  <c r="E85" i="22" a="1"/>
  <c r="E85" i="22" s="1"/>
  <c r="N69" i="22" a="1"/>
  <c r="N69" i="22" s="1"/>
  <c r="U87" i="22" a="1"/>
  <c r="U87" i="22" s="1"/>
  <c r="P90" i="22" a="1"/>
  <c r="P90" i="22" s="1"/>
  <c r="F59" i="22" a="1"/>
  <c r="F59" i="22" s="1"/>
  <c r="G58" i="29" s="1"/>
  <c r="Q92" i="22" a="1"/>
  <c r="Q92" i="22" s="1"/>
  <c r="Y27" i="22" a="1"/>
  <c r="Y27" i="22" s="1"/>
  <c r="F69" i="22" a="1"/>
  <c r="F69" i="22" s="1"/>
  <c r="G68" i="29" s="1"/>
  <c r="J90" i="22" a="1"/>
  <c r="J90" i="22" s="1"/>
  <c r="Y80" i="22" a="1"/>
  <c r="Y80" i="22" s="1"/>
  <c r="E77" i="22" a="1"/>
  <c r="E77" i="22" s="1"/>
  <c r="I76" i="29" s="1"/>
  <c r="L46" i="22" a="1"/>
  <c r="L46" i="22" s="1"/>
  <c r="Z43" i="22" a="1"/>
  <c r="Z43" i="22" s="1"/>
  <c r="F42" i="29" s="1"/>
  <c r="G84" i="22" a="1"/>
  <c r="G84" i="22" s="1"/>
  <c r="K57" i="22" a="1"/>
  <c r="K57" i="22" s="1"/>
  <c r="E68" i="22" a="1"/>
  <c r="E68" i="22" s="1"/>
  <c r="T83" i="22" a="1"/>
  <c r="T83" i="22" s="1"/>
  <c r="D82" i="29" s="1"/>
  <c r="Q102" i="22" a="1"/>
  <c r="Q102" i="22" s="1"/>
  <c r="H101" i="29" s="1"/>
  <c r="F101" i="22" a="1"/>
  <c r="F101" i="22" s="1"/>
  <c r="G100" i="29" s="1"/>
  <c r="F88" i="22" a="1"/>
  <c r="F88" i="22" s="1"/>
  <c r="G87" i="29" s="1"/>
  <c r="M83" i="22" a="1"/>
  <c r="M83" i="22" s="1"/>
  <c r="L52" i="22" a="1"/>
  <c r="L52" i="22" s="1"/>
  <c r="N42" i="22" a="1"/>
  <c r="N42" i="22" s="1"/>
  <c r="N92" i="22" a="1"/>
  <c r="N92" i="22" s="1"/>
  <c r="E58" i="22" a="1"/>
  <c r="E58" i="22" s="1"/>
  <c r="V99" i="22" a="1"/>
  <c r="V99" i="22" s="1"/>
  <c r="J42" i="22" a="1"/>
  <c r="J42" i="22" s="1"/>
  <c r="F87" i="22" a="1"/>
  <c r="F87" i="22" s="1"/>
  <c r="Z60" i="22" a="1"/>
  <c r="Z60" i="22" s="1"/>
  <c r="F59" i="29" s="1"/>
  <c r="K28" i="22" a="1"/>
  <c r="K28" i="22" s="1"/>
  <c r="S27" i="22" a="1"/>
  <c r="S27" i="22" s="1"/>
  <c r="U43" i="22" a="1"/>
  <c r="U43" i="22" s="1"/>
  <c r="J51" i="22" a="1"/>
  <c r="J51" i="22" s="1"/>
  <c r="E50" i="29" s="1"/>
  <c r="F70" i="22" a="1"/>
  <c r="F70" i="22" s="1"/>
  <c r="G69" i="29" s="1"/>
  <c r="L13" i="22" a="1"/>
  <c r="L13" i="22" s="1"/>
  <c r="V76" i="22" a="1"/>
  <c r="V76" i="22" s="1"/>
  <c r="V97" i="22" a="1"/>
  <c r="V97" i="22" s="1"/>
  <c r="W16" i="22" a="1"/>
  <c r="W16" i="22" s="1"/>
  <c r="P66" i="22" a="1"/>
  <c r="P66" i="22" s="1"/>
  <c r="T65" i="22" a="1"/>
  <c r="T65" i="22" s="1"/>
  <c r="D64" i="29" s="1"/>
  <c r="T61" i="22" a="1"/>
  <c r="T61" i="22" s="1"/>
  <c r="D60" i="29" s="1"/>
  <c r="W61" i="22" a="1"/>
  <c r="W61" i="22" s="1"/>
  <c r="V86" i="22" a="1"/>
  <c r="V86" i="22" s="1"/>
  <c r="G89" i="22" a="1"/>
  <c r="G89" i="22" s="1"/>
  <c r="N96" i="22" a="1"/>
  <c r="N96" i="22" s="1"/>
  <c r="I72" i="22" a="1"/>
  <c r="I72" i="22" s="1"/>
  <c r="Y22" i="22" a="1"/>
  <c r="Y22" i="22" s="1"/>
  <c r="Q57" i="22" a="1"/>
  <c r="Q57" i="22" s="1"/>
  <c r="Q39" i="22" a="1"/>
  <c r="Q39" i="22" s="1"/>
  <c r="X92" i="22" a="1"/>
  <c r="X92" i="22" s="1"/>
  <c r="N75" i="22" a="1"/>
  <c r="N75" i="22" s="1"/>
  <c r="H37" i="22" a="1"/>
  <c r="H37" i="22" s="1"/>
  <c r="E75" i="22" a="1"/>
  <c r="E75" i="22" s="1"/>
  <c r="G87" i="22" a="1"/>
  <c r="G87" i="22" s="1"/>
  <c r="T39" i="22" a="1"/>
  <c r="T39" i="22" s="1"/>
  <c r="D38" i="29" s="1"/>
  <c r="S85" i="22" a="1"/>
  <c r="S85" i="22" s="1"/>
  <c r="F61" i="22" a="1"/>
  <c r="F61" i="22" s="1"/>
  <c r="G60" i="29" s="1"/>
  <c r="F76" i="22" a="1"/>
  <c r="F76" i="22" s="1"/>
  <c r="E44" i="22" a="1"/>
  <c r="E44" i="22" s="1"/>
  <c r="Y49" i="22" a="1"/>
  <c r="Y49" i="22" s="1"/>
  <c r="Q90" i="22" a="1"/>
  <c r="Q90" i="22" s="1"/>
  <c r="Y70" i="22" a="1"/>
  <c r="Y70" i="22" s="1"/>
  <c r="W76" i="22" a="1"/>
  <c r="W76" i="22" s="1"/>
  <c r="Y95" i="22" a="1"/>
  <c r="Y95" i="22" s="1"/>
  <c r="Q60" i="22" a="1"/>
  <c r="Q60" i="22" s="1"/>
  <c r="G73" i="22" a="1"/>
  <c r="G73" i="22" s="1"/>
  <c r="T70" i="22" a="1"/>
  <c r="T70" i="22" s="1"/>
  <c r="U88" i="22" a="1"/>
  <c r="U88" i="22" s="1"/>
  <c r="O99" i="22" a="1"/>
  <c r="O99" i="22" s="1"/>
  <c r="M66" i="22" a="1"/>
  <c r="M66" i="22" s="1"/>
  <c r="L98" i="22" a="1"/>
  <c r="L98" i="22" s="1"/>
  <c r="P78" i="22" a="1"/>
  <c r="P78" i="22" s="1"/>
  <c r="X19" i="22" a="1"/>
  <c r="X19" i="22" s="1"/>
  <c r="Z12" i="22" a="1"/>
  <c r="Z12" i="22" s="1"/>
  <c r="F11" i="29" s="1"/>
  <c r="K74" i="22" a="1"/>
  <c r="K74" i="22" s="1"/>
  <c r="N48" i="22" a="1"/>
  <c r="N48" i="22" s="1"/>
  <c r="X95" i="22" a="1"/>
  <c r="X95" i="22" s="1"/>
  <c r="F77" i="22" a="1"/>
  <c r="F77" i="22" s="1"/>
  <c r="G76" i="29" s="1"/>
  <c r="I95" i="22" a="1"/>
  <c r="I95" i="22" s="1"/>
  <c r="F23" i="22" a="1"/>
  <c r="F23" i="22" s="1"/>
  <c r="Z61" i="22" a="1"/>
  <c r="Z61" i="22" s="1"/>
  <c r="F60" i="29" s="1"/>
  <c r="K60" i="29" s="1"/>
  <c r="I68" i="22" a="1"/>
  <c r="I68" i="22" s="1"/>
  <c r="E23" i="22" a="1"/>
  <c r="E23" i="22" s="1"/>
  <c r="G68" i="22" a="1"/>
  <c r="G68" i="22" s="1"/>
  <c r="T78" i="22" a="1"/>
  <c r="T78" i="22" s="1"/>
  <c r="O20" i="22" a="1"/>
  <c r="O20" i="22" s="1"/>
  <c r="Q78" i="22" a="1"/>
  <c r="Q78" i="22" s="1"/>
  <c r="X70" i="22" a="1"/>
  <c r="X70" i="22" s="1"/>
  <c r="M97" i="22" a="1"/>
  <c r="M97" i="22" s="1"/>
  <c r="U16" i="22" a="1"/>
  <c r="U16" i="22" s="1"/>
  <c r="Y97" i="22" a="1"/>
  <c r="Y97" i="22" s="1"/>
  <c r="V71" i="22" a="1"/>
  <c r="V71" i="22" s="1"/>
  <c r="Q36" i="22" a="1"/>
  <c r="Q36" i="22" s="1"/>
  <c r="Q37" i="22" a="1"/>
  <c r="Q37" i="22" s="1"/>
  <c r="X29" i="22" a="1"/>
  <c r="X29" i="22" s="1"/>
  <c r="Z73" i="22" a="1"/>
  <c r="Z73" i="22" s="1"/>
  <c r="F72" i="29" s="1"/>
  <c r="W89" i="22" a="1"/>
  <c r="W89" i="22" s="1"/>
  <c r="V34" i="22" a="1"/>
  <c r="V34" i="22" s="1"/>
  <c r="Q26" i="22" a="1"/>
  <c r="Q26" i="22" s="1"/>
  <c r="H25" i="29" s="1"/>
  <c r="U65" i="22" a="1"/>
  <c r="U65" i="22" s="1"/>
  <c r="H46" i="22" a="1"/>
  <c r="H46" i="22" s="1"/>
  <c r="I81" i="22" a="1"/>
  <c r="I81" i="22" s="1"/>
  <c r="T84" i="22" a="1"/>
  <c r="T84" i="22" s="1"/>
  <c r="D83" i="29" s="1"/>
  <c r="J85" i="22" a="1"/>
  <c r="J85" i="22" s="1"/>
  <c r="F63" i="22" a="1"/>
  <c r="F63" i="22" s="1"/>
  <c r="G62" i="29" s="1"/>
  <c r="G46" i="22" a="1"/>
  <c r="G46" i="22" s="1"/>
  <c r="N72" i="22" a="1"/>
  <c r="N72" i="22" s="1"/>
  <c r="L81" i="22" a="1"/>
  <c r="L81" i="22" s="1"/>
  <c r="S76" i="22" a="1"/>
  <c r="S76" i="22" s="1"/>
  <c r="N89" i="22" a="1"/>
  <c r="N89" i="22" s="1"/>
  <c r="T53" i="22" a="1"/>
  <c r="T53" i="22" s="1"/>
  <c r="D52" i="29" s="1"/>
  <c r="Y37" i="22" a="1"/>
  <c r="Y37" i="22" s="1"/>
  <c r="F43" i="22" a="1"/>
  <c r="F43" i="22" s="1"/>
  <c r="M102" i="22" a="1"/>
  <c r="M102" i="22" s="1"/>
  <c r="E90" i="22" a="1"/>
  <c r="E90" i="22" s="1"/>
  <c r="N31" i="22" a="1"/>
  <c r="N31" i="22" s="1"/>
  <c r="Z58" i="22" a="1"/>
  <c r="Z58" i="22" s="1"/>
  <c r="F57" i="29" s="1"/>
  <c r="V58" i="22" a="1"/>
  <c r="V58" i="22" s="1"/>
  <c r="S55" i="22" a="1"/>
  <c r="S55" i="22" s="1"/>
  <c r="U41" i="22" a="1"/>
  <c r="U41" i="22" s="1"/>
  <c r="J86" i="22" a="1"/>
  <c r="J86" i="22" s="1"/>
  <c r="J101" i="22" a="1"/>
  <c r="J101" i="22" s="1"/>
  <c r="E100" i="29" s="1"/>
  <c r="G19" i="22" a="1"/>
  <c r="G19" i="22" s="1"/>
  <c r="M52" i="22" a="1"/>
  <c r="M52" i="22" s="1"/>
  <c r="M73" i="22" a="1"/>
  <c r="M73" i="22" s="1"/>
  <c r="M45" i="22" a="1"/>
  <c r="M45" i="22" s="1"/>
  <c r="I93" i="22" a="1"/>
  <c r="I93" i="22" s="1"/>
  <c r="J92" i="22" a="1"/>
  <c r="J92" i="22" s="1"/>
  <c r="E91" i="29" s="1"/>
  <c r="L88" i="22" a="1"/>
  <c r="L88" i="22" s="1"/>
  <c r="S34" i="22" a="1"/>
  <c r="S34" i="22" s="1"/>
  <c r="W95" i="22" a="1"/>
  <c r="W95" i="22" s="1"/>
  <c r="G94" i="22" a="1"/>
  <c r="G94" i="22" s="1"/>
  <c r="L57" i="22" a="1"/>
  <c r="L57" i="22" s="1"/>
  <c r="Z54" i="22" a="1"/>
  <c r="Z54" i="22" s="1"/>
  <c r="N40" i="22" a="1"/>
  <c r="N40" i="22" s="1"/>
  <c r="K73" i="22" a="1"/>
  <c r="K73" i="22" s="1"/>
  <c r="O100" i="22" a="1"/>
  <c r="O100" i="22" s="1"/>
  <c r="P54" i="22" a="1"/>
  <c r="P54" i="22" s="1"/>
  <c r="Z97" i="22" a="1"/>
  <c r="Z97" i="22" s="1"/>
  <c r="F96" i="29" s="1"/>
  <c r="Y30" i="22" a="1"/>
  <c r="Y30" i="22" s="1"/>
  <c r="T100" i="22" a="1"/>
  <c r="T100" i="22" s="1"/>
  <c r="G79" i="22" a="1"/>
  <c r="G79" i="22" s="1"/>
  <c r="F49" i="22" a="1"/>
  <c r="F49" i="22" s="1"/>
  <c r="G48" i="29" s="1"/>
  <c r="L89" i="22" a="1"/>
  <c r="L89" i="22" s="1"/>
  <c r="S61" i="22" a="1"/>
  <c r="S61" i="22" s="1"/>
  <c r="E91" i="22" a="1"/>
  <c r="E91" i="22" s="1"/>
  <c r="I90" i="29" s="1"/>
  <c r="X58" i="22" a="1"/>
  <c r="X58" i="22" s="1"/>
  <c r="J64" i="22" a="1"/>
  <c r="J64" i="22" s="1"/>
  <c r="E63" i="29" s="1"/>
  <c r="Q51" i="22" a="1"/>
  <c r="Q51" i="22" s="1"/>
  <c r="S58" i="22" a="1"/>
  <c r="S58" i="22" s="1"/>
  <c r="L58" i="22" a="1"/>
  <c r="L58" i="22" s="1"/>
  <c r="Z55" i="22" a="1"/>
  <c r="Z55" i="22" s="1"/>
  <c r="F54" i="29" s="1"/>
  <c r="O75" i="22" a="1"/>
  <c r="O75" i="22" s="1"/>
  <c r="V24" i="22" a="1"/>
  <c r="V24" i="22" s="1"/>
  <c r="O67" i="22" a="1"/>
  <c r="O67" i="22" s="1"/>
  <c r="Y60" i="22" a="1"/>
  <c r="Y60" i="22" s="1"/>
  <c r="O58" i="22" a="1"/>
  <c r="O58" i="22" s="1"/>
  <c r="P76" i="22" a="1"/>
  <c r="P76" i="22" s="1"/>
  <c r="K87" i="22" a="1"/>
  <c r="K87" i="22" s="1"/>
  <c r="I54" i="22" a="1"/>
  <c r="I54" i="22" s="1"/>
  <c r="K53" i="22" a="1"/>
  <c r="K53" i="22" s="1"/>
  <c r="X56" i="22" a="1"/>
  <c r="X56" i="22" s="1"/>
  <c r="Q59" i="22" a="1"/>
  <c r="Q59" i="22" s="1"/>
  <c r="V55" i="22" a="1"/>
  <c r="V55" i="22" s="1"/>
  <c r="X51" i="22" a="1"/>
  <c r="X51" i="22" s="1"/>
  <c r="O13" i="22" a="1"/>
  <c r="O13" i="22" s="1"/>
  <c r="K83" i="22" a="1"/>
  <c r="K83" i="22" s="1"/>
  <c r="Z57" i="22" a="1"/>
  <c r="Z57" i="22" s="1"/>
  <c r="X66" i="22" a="1"/>
  <c r="X66" i="22" s="1"/>
  <c r="H15" i="22" a="1"/>
  <c r="H15" i="22" s="1"/>
  <c r="Y75" i="22" a="1"/>
  <c r="Y75" i="22" s="1"/>
  <c r="E100" i="22" a="1"/>
  <c r="E100" i="22" s="1"/>
  <c r="I99" i="29" s="1"/>
  <c r="U61" i="22" a="1"/>
  <c r="U61" i="22" s="1"/>
  <c r="S67" i="22" a="1"/>
  <c r="S67" i="22" s="1"/>
  <c r="Y87" i="22" a="1"/>
  <c r="Y87" i="22" s="1"/>
  <c r="L94" i="22" a="1"/>
  <c r="L94" i="22" s="1"/>
  <c r="O35" i="22" a="1"/>
  <c r="O35" i="22" s="1"/>
  <c r="S69" i="22" a="1"/>
  <c r="S69" i="22" s="1"/>
  <c r="T85" i="22" a="1"/>
  <c r="T85" i="22" s="1"/>
  <c r="D84" i="29" s="1"/>
  <c r="G51" i="22" a="1"/>
  <c r="G51" i="22" s="1"/>
  <c r="F94" i="22" a="1"/>
  <c r="F94" i="22" s="1"/>
  <c r="G93" i="29" s="1"/>
  <c r="Z45" i="22" a="1"/>
  <c r="Z45" i="22" s="1"/>
  <c r="F44" i="29" s="1"/>
  <c r="P68" i="22" a="1"/>
  <c r="P68" i="22" s="1"/>
  <c r="M12" i="22" a="1"/>
  <c r="M12" i="22" s="1"/>
  <c r="J36" i="22" a="1"/>
  <c r="J36" i="22" s="1"/>
  <c r="G78" i="22" a="1"/>
  <c r="G78" i="22" s="1"/>
  <c r="W92" i="22" a="1"/>
  <c r="W92" i="22" s="1"/>
  <c r="F66" i="22" a="1"/>
  <c r="F66" i="22" s="1"/>
  <c r="Y64" i="22" a="1"/>
  <c r="Y64" i="22" s="1"/>
  <c r="F53" i="22" a="1"/>
  <c r="F53" i="22" s="1"/>
  <c r="G52" i="29" s="1"/>
  <c r="O12" i="22" a="1"/>
  <c r="O12" i="22" s="1"/>
  <c r="L45" i="22" a="1"/>
  <c r="L45" i="22" s="1"/>
  <c r="U78" i="22" a="1"/>
  <c r="U78" i="22" s="1"/>
  <c r="X77" i="22" a="1"/>
  <c r="X77" i="22" s="1"/>
  <c r="X73" i="22" a="1"/>
  <c r="X73" i="22" s="1"/>
  <c r="L80" i="22" a="1"/>
  <c r="L80" i="22" s="1"/>
  <c r="S46" i="22" a="1"/>
  <c r="S46" i="22" s="1"/>
  <c r="E86" i="22" a="1"/>
  <c r="E86" i="22" s="1"/>
  <c r="E76" i="22" a="1"/>
  <c r="E76" i="22" s="1"/>
  <c r="Z50" i="22" a="1"/>
  <c r="Z50" i="22" s="1"/>
  <c r="F49" i="29" s="1"/>
  <c r="K49" i="29" s="1"/>
  <c r="I76" i="22" a="1"/>
  <c r="I76" i="22" s="1"/>
  <c r="E15" i="22" a="1"/>
  <c r="E15" i="22" s="1"/>
  <c r="I14" i="29" s="1"/>
  <c r="E78" i="22" a="1"/>
  <c r="E78" i="22" s="1"/>
  <c r="S65" i="22" a="1"/>
  <c r="S65" i="22" s="1"/>
  <c r="Y12" i="22" a="1"/>
  <c r="Y12" i="22" s="1"/>
  <c r="N85" i="22" a="1"/>
  <c r="N85" i="22" s="1"/>
  <c r="N100" i="22" a="1"/>
  <c r="N100" i="22" s="1"/>
  <c r="S51" i="22" a="1"/>
  <c r="S51" i="22" s="1"/>
  <c r="T77" i="22" a="1"/>
  <c r="T77" i="22" s="1"/>
  <c r="I32" i="22" a="1"/>
  <c r="I32" i="22" s="1"/>
  <c r="E84" i="22" a="1"/>
  <c r="E84" i="22" s="1"/>
  <c r="O94" i="22" a="1"/>
  <c r="O94" i="22" s="1"/>
  <c r="I82" i="22" a="1"/>
  <c r="I82" i="22" s="1"/>
  <c r="M32" i="22" a="1"/>
  <c r="M32" i="22" s="1"/>
  <c r="J63" i="22" a="1"/>
  <c r="J63" i="22" s="1"/>
  <c r="E26" i="22" a="1"/>
  <c r="E26" i="22" s="1"/>
  <c r="I25" i="29" s="1"/>
  <c r="W62" i="22" a="1"/>
  <c r="W62" i="22" s="1"/>
  <c r="Y74" i="22" a="1"/>
  <c r="Y74" i="22" s="1"/>
  <c r="O23" i="22" a="1"/>
  <c r="O23" i="22" s="1"/>
  <c r="P84" i="22" a="1"/>
  <c r="P84" i="22" s="1"/>
  <c r="P103" i="22" s="1"/>
  <c r="V15" i="22" a="1"/>
  <c r="V15" i="22" s="1"/>
  <c r="H100" i="22" a="1"/>
  <c r="H100" i="22" s="1"/>
  <c r="X87" i="22" a="1"/>
  <c r="X87" i="22" s="1"/>
  <c r="U74" i="22" a="1"/>
  <c r="U74" i="22" s="1"/>
  <c r="P99" i="22" a="1"/>
  <c r="P99" i="22" s="1"/>
  <c r="L73" i="22" a="1"/>
  <c r="L73" i="22" s="1"/>
  <c r="Q101" i="22" a="1"/>
  <c r="Q101" i="22" s="1"/>
  <c r="H100" i="29" s="1"/>
  <c r="H102" i="22" a="1"/>
  <c r="H102" i="22" s="1"/>
  <c r="T20" i="22" a="1"/>
  <c r="T20" i="22" s="1"/>
  <c r="D19" i="29" s="1"/>
  <c r="N90" i="22" a="1"/>
  <c r="N90" i="22" s="1"/>
  <c r="I44" i="22" a="1"/>
  <c r="I44" i="22" s="1"/>
  <c r="Z42" i="22" a="1"/>
  <c r="Z42" i="22" s="1"/>
  <c r="F41" i="29" s="1"/>
  <c r="G18" i="22" a="1"/>
  <c r="G18" i="22" s="1"/>
  <c r="O54" i="22" a="1"/>
  <c r="O54" i="22" s="1"/>
  <c r="N43" i="22" a="1"/>
  <c r="N43" i="22" s="1"/>
  <c r="F82" i="22" a="1"/>
  <c r="F82" i="22" s="1"/>
  <c r="G81" i="29" s="1"/>
  <c r="W39" i="22" a="1"/>
  <c r="W39" i="22" s="1"/>
  <c r="S40" i="22" a="1"/>
  <c r="S40" i="22" s="1"/>
  <c r="V13" i="22" a="1"/>
  <c r="V13" i="22" s="1"/>
  <c r="H13" i="22" a="1"/>
  <c r="H13" i="22" s="1"/>
  <c r="V31" i="22" a="1"/>
  <c r="V31" i="22" s="1"/>
  <c r="I84" i="22" a="1"/>
  <c r="I84" i="22" s="1"/>
  <c r="F13" i="22" a="1"/>
  <c r="F13" i="22" s="1"/>
  <c r="K29" i="22" a="1"/>
  <c r="K29" i="22" s="1"/>
  <c r="F22" i="22" a="1"/>
  <c r="F22" i="22" s="1"/>
  <c r="L102" i="22" a="1"/>
  <c r="L102" i="22" s="1"/>
  <c r="W27" i="22" a="1"/>
  <c r="W27" i="22" s="1"/>
  <c r="U24" i="22" a="1"/>
  <c r="U24" i="22" s="1"/>
  <c r="L63" i="22" a="1"/>
  <c r="L63" i="22" s="1"/>
  <c r="U93" i="22" a="1"/>
  <c r="U93" i="22" s="1"/>
  <c r="X25" i="22" a="1"/>
  <c r="X25" i="22" s="1"/>
  <c r="Q48" i="22" a="1"/>
  <c r="Q48" i="22" s="1"/>
  <c r="L62" i="22" a="1"/>
  <c r="L62" i="22" s="1"/>
  <c r="M43" i="22" a="1"/>
  <c r="M43" i="22" s="1"/>
  <c r="Z44" i="22" a="1"/>
  <c r="Z44" i="22" s="1"/>
  <c r="F43" i="29" s="1"/>
  <c r="L38" i="22" a="1"/>
  <c r="L38" i="22" s="1"/>
  <c r="S23" i="22" a="1"/>
  <c r="S23" i="22" s="1"/>
  <c r="Y45" i="22" a="1"/>
  <c r="Y45" i="22" s="1"/>
  <c r="E35" i="22" a="1"/>
  <c r="E35" i="22" s="1"/>
  <c r="U77" i="22" a="1"/>
  <c r="U77" i="22" s="1"/>
  <c r="O86" i="22" a="1"/>
  <c r="O86" i="22" s="1"/>
  <c r="L43" i="22" a="1"/>
  <c r="L43" i="22" s="1"/>
  <c r="S36" i="22" a="1"/>
  <c r="S36" i="22" s="1"/>
  <c r="U19" i="22" a="1"/>
  <c r="U19" i="22" s="1"/>
  <c r="V50" i="22" a="1"/>
  <c r="V50" i="22" s="1"/>
  <c r="O84" i="22" a="1"/>
  <c r="O84" i="22" s="1"/>
  <c r="H65" i="22" a="1"/>
  <c r="H65" i="22" s="1"/>
  <c r="J52" i="22" a="1"/>
  <c r="J52" i="22" s="1"/>
  <c r="E51" i="29" s="1"/>
  <c r="W29" i="22" a="1"/>
  <c r="W29" i="22" s="1"/>
  <c r="E28" i="22" a="1"/>
  <c r="E28" i="22" s="1"/>
  <c r="L36" i="22" a="1"/>
  <c r="L36" i="22" s="1"/>
  <c r="Y13" i="22" a="1"/>
  <c r="Y13" i="22" s="1"/>
  <c r="W75" i="22" a="1"/>
  <c r="W75" i="22" s="1"/>
  <c r="J39" i="22" a="1"/>
  <c r="J39" i="22" s="1"/>
  <c r="E38" i="29" s="1"/>
  <c r="K72" i="22" a="1"/>
  <c r="K72" i="22" s="1"/>
  <c r="M19" i="22" a="1"/>
  <c r="M19" i="22" s="1"/>
  <c r="I28" i="22" a="1"/>
  <c r="I28" i="22" s="1"/>
  <c r="I13" i="22" a="1"/>
  <c r="I13" i="22" s="1"/>
  <c r="W21" i="22" a="1"/>
  <c r="W21" i="22" s="1"/>
  <c r="N41" i="22" a="1"/>
  <c r="N41" i="22" s="1"/>
  <c r="G35" i="22" a="1"/>
  <c r="G35" i="22" s="1"/>
  <c r="K34" i="22" a="1"/>
  <c r="K34" i="22" s="1"/>
  <c r="N61" i="22" a="1"/>
  <c r="N61" i="22" s="1"/>
  <c r="Z27" i="22" a="1"/>
  <c r="Z27" i="22" s="1"/>
  <c r="F26" i="29" s="1"/>
  <c r="X46" i="22" a="1"/>
  <c r="X46" i="22" s="1"/>
  <c r="F102" i="22" a="1"/>
  <c r="F102" i="22" s="1"/>
  <c r="H18" i="22" a="1"/>
  <c r="H18" i="22" s="1"/>
  <c r="Z30" i="22" a="1"/>
  <c r="Z30" i="22" s="1"/>
  <c r="F29" i="29" s="1"/>
  <c r="X43" i="22" a="1"/>
  <c r="X43" i="22" s="1"/>
  <c r="M16" i="22" a="1"/>
  <c r="M16" i="22" s="1"/>
  <c r="W18" i="22" a="1"/>
  <c r="W18" i="22" s="1"/>
  <c r="H52" i="22" a="1"/>
  <c r="H52" i="22" s="1"/>
  <c r="P74" i="22" a="1"/>
  <c r="P74" i="22" s="1"/>
  <c r="V32" i="22" a="1"/>
  <c r="V32" i="22" s="1"/>
  <c r="K38" i="22" a="1"/>
  <c r="K38" i="22" s="1"/>
  <c r="Z32" i="22" a="1"/>
  <c r="Z32" i="22" s="1"/>
  <c r="F31" i="29" s="1"/>
  <c r="N79" i="22" a="1"/>
  <c r="N79" i="22" s="1"/>
  <c r="N58" i="22" a="1"/>
  <c r="N58" i="22" s="1"/>
  <c r="I45" i="22" a="1"/>
  <c r="I45" i="22" s="1"/>
  <c r="P43" i="22" a="1"/>
  <c r="P43" i="22" s="1"/>
  <c r="V21" i="22" a="1"/>
  <c r="V21" i="22" s="1"/>
  <c r="G30" i="22" a="1"/>
  <c r="G30" i="22" s="1"/>
  <c r="X28" i="22" a="1"/>
  <c r="X28" i="22" s="1"/>
  <c r="Y59" i="22" a="1"/>
  <c r="Y59" i="22" s="1"/>
  <c r="M87" i="22" a="1"/>
  <c r="M87" i="22" s="1"/>
  <c r="Z46" i="22" a="1"/>
  <c r="Z46" i="22" s="1"/>
  <c r="F45" i="29" s="1"/>
  <c r="J30" i="22" a="1"/>
  <c r="J30" i="22" s="1"/>
  <c r="E29" i="29" s="1"/>
  <c r="V25" i="22" a="1"/>
  <c r="V25" i="22" s="1"/>
  <c r="Y57" i="22" a="1"/>
  <c r="Y57" i="22" s="1"/>
  <c r="J62" i="22" a="1"/>
  <c r="J62" i="22" s="1"/>
  <c r="G13" i="22" a="1"/>
  <c r="G13" i="22" s="1"/>
  <c r="K14" i="22"/>
  <c r="L23" i="22" a="1"/>
  <c r="L23" i="22" s="1"/>
  <c r="P22" i="22" a="1"/>
  <c r="P22" i="22" s="1"/>
  <c r="Z59" i="22" a="1"/>
  <c r="Z59" i="22" s="1"/>
  <c r="F58" i="29" s="1"/>
  <c r="L27" i="22" a="1"/>
  <c r="L27" i="22" s="1"/>
  <c r="H91" i="22" a="1"/>
  <c r="H91" i="22" s="1"/>
  <c r="N49" i="22" a="1"/>
  <c r="N49" i="22" s="1"/>
  <c r="O28" i="22" a="1"/>
  <c r="O28" i="22" s="1"/>
  <c r="P23" i="22" a="1"/>
  <c r="P23" i="22" s="1"/>
  <c r="N26" i="22" a="1"/>
  <c r="N26" i="22" s="1"/>
  <c r="Z26" i="22" a="1"/>
  <c r="Z26" i="22" s="1"/>
  <c r="F25" i="29" s="1"/>
  <c r="H44" i="22" a="1"/>
  <c r="H44" i="22" s="1"/>
  <c r="F98" i="22" a="1"/>
  <c r="F98" i="22" s="1"/>
  <c r="G97" i="29" s="1"/>
  <c r="T45" i="22" a="1"/>
  <c r="T45" i="22" s="1"/>
  <c r="D44" i="29" s="1"/>
  <c r="V102" i="22" a="1"/>
  <c r="V102" i="22" s="1"/>
  <c r="J44" i="22" a="1"/>
  <c r="J44" i="22" s="1"/>
  <c r="E43" i="29" s="1"/>
  <c r="H47" i="22" a="1"/>
  <c r="H47" i="22" s="1"/>
  <c r="E36" i="22" a="1"/>
  <c r="E36" i="22" s="1"/>
  <c r="P34" i="22" a="1"/>
  <c r="P34" i="22" s="1"/>
  <c r="I18" i="22" a="1"/>
  <c r="I18" i="22" s="1"/>
  <c r="W24" i="22" a="1"/>
  <c r="W24" i="22" s="1"/>
  <c r="U40" i="22" a="1"/>
  <c r="U40" i="22" s="1"/>
  <c r="Z75" i="22" a="1"/>
  <c r="Z75" i="22" s="1"/>
  <c r="F74" i="29" s="1"/>
  <c r="Q20" i="22" a="1"/>
  <c r="Q20" i="22" s="1"/>
  <c r="H19" i="29" s="1"/>
  <c r="Y41" i="22" a="1"/>
  <c r="Y41" i="22" s="1"/>
  <c r="Z36" i="22" a="1"/>
  <c r="Z36" i="22" s="1"/>
  <c r="F35" i="29" s="1"/>
  <c r="G38" i="22" a="1"/>
  <c r="G38" i="22" s="1"/>
  <c r="J93" i="22" a="1"/>
  <c r="J93" i="22" s="1"/>
  <c r="E92" i="29" s="1"/>
  <c r="P26" i="22" a="1"/>
  <c r="P26" i="22" s="1"/>
  <c r="X89" i="22" a="1"/>
  <c r="X89" i="22" s="1"/>
  <c r="X36" i="22" a="1"/>
  <c r="X36" i="22" s="1"/>
  <c r="L100" i="22" a="1"/>
  <c r="L100" i="22" s="1"/>
  <c r="F57" i="22" a="1"/>
  <c r="F57" i="22" s="1"/>
  <c r="G56" i="29" s="1"/>
  <c r="K44" i="22" a="1"/>
  <c r="K44" i="22" s="1"/>
  <c r="H45" i="22" a="1"/>
  <c r="H45" i="22" s="1"/>
  <c r="V38" i="22" a="1"/>
  <c r="V38" i="22" s="1"/>
  <c r="K30" i="22" a="1"/>
  <c r="K30" i="22" s="1"/>
  <c r="I20" i="22" a="1"/>
  <c r="I20" i="22" s="1"/>
  <c r="I34" i="22" a="1"/>
  <c r="I34" i="22" s="1"/>
  <c r="BH40" i="6"/>
  <c r="BG40" i="6"/>
  <c r="AR34" i="6"/>
  <c r="AX34" i="6"/>
  <c r="AY34" i="6"/>
  <c r="BD34" i="6"/>
  <c r="AO34" i="6"/>
  <c r="AS37" i="6"/>
  <c r="AF60" i="6"/>
  <c r="AF37" i="6"/>
  <c r="BJ40" i="6"/>
  <c r="BE37" i="6"/>
  <c r="AO61" i="6"/>
  <c r="AO40" i="6"/>
  <c r="BJ34" i="6"/>
  <c r="BL34" i="6"/>
  <c r="AN34" i="6"/>
  <c r="BA34" i="6"/>
  <c r="AS34" i="6"/>
  <c r="AC40" i="6"/>
  <c r="AY40" i="6"/>
  <c r="BA61" i="6"/>
  <c r="BA40" i="6"/>
  <c r="BE61" i="6"/>
  <c r="BE40" i="6"/>
  <c r="BL40" i="6"/>
  <c r="AJ37" i="6"/>
  <c r="BI37" i="6"/>
  <c r="AN37" i="6"/>
  <c r="AG34" i="6"/>
  <c r="BM37" i="6"/>
  <c r="AH40" i="6"/>
  <c r="BB61" i="6"/>
  <c r="BB40" i="6"/>
  <c r="AX60" i="6"/>
  <c r="AX37" i="6"/>
  <c r="AD61" i="6"/>
  <c r="AD40" i="6"/>
  <c r="AE37" i="6"/>
  <c r="BB37" i="6"/>
  <c r="AK37" i="6"/>
  <c r="AF34" i="6"/>
  <c r="AU34" i="6"/>
  <c r="BC34" i="6"/>
  <c r="BM34" i="6"/>
  <c r="AH60" i="6"/>
  <c r="AH37" i="6"/>
  <c r="AP61" i="6"/>
  <c r="AP40" i="6"/>
  <c r="AI61" i="6"/>
  <c r="AI40" i="6"/>
  <c r="AI37" i="6"/>
  <c r="AU37" i="6"/>
  <c r="W37" i="6"/>
  <c r="V37" i="6"/>
  <c r="BL61" i="6"/>
  <c r="Z37" i="6"/>
  <c r="T40" i="6"/>
  <c r="V40" i="6"/>
  <c r="AK59" i="6"/>
  <c r="AT60" i="6"/>
  <c r="AY59" i="6"/>
  <c r="AS59" i="6"/>
  <c r="AU59" i="6"/>
  <c r="BM60" i="6"/>
  <c r="AW60" i="6"/>
  <c r="AW59" i="6"/>
  <c r="X37" i="6"/>
  <c r="AA40" i="6"/>
  <c r="AZ59" i="6"/>
  <c r="BM61" i="6"/>
  <c r="BM59" i="6"/>
  <c r="Y40" i="6"/>
  <c r="BG61" i="6"/>
  <c r="AQ61" i="6"/>
  <c r="AN61" i="6"/>
  <c r="AI59" i="6"/>
  <c r="AT61" i="6"/>
  <c r="T34" i="6"/>
  <c r="T59" i="6"/>
  <c r="AJ59" i="6"/>
  <c r="AR60" i="6"/>
  <c r="BA59" i="6"/>
  <c r="AH61" i="6"/>
  <c r="BI59" i="6"/>
  <c r="AC59" i="6"/>
  <c r="BD60" i="6"/>
  <c r="AE59" i="6"/>
  <c r="AE61" i="6"/>
  <c r="AD59" i="6"/>
  <c r="AB61" i="6"/>
  <c r="V59" i="6"/>
  <c r="V34" i="6"/>
  <c r="S34" i="6"/>
  <c r="S59" i="6"/>
  <c r="BB59" i="6"/>
  <c r="BD61" i="6"/>
  <c r="W34" i="6"/>
  <c r="W59" i="6"/>
  <c r="U40" i="6"/>
  <c r="U61" i="6"/>
  <c r="AM59" i="6"/>
  <c r="BG59" i="6"/>
  <c r="AP59" i="6"/>
  <c r="AG60" i="6"/>
  <c r="AA34" i="6"/>
  <c r="AA59" i="6"/>
  <c r="AY60" i="6"/>
  <c r="AR59" i="6"/>
  <c r="AJ61" i="6"/>
  <c r="AV59" i="6"/>
  <c r="BE59" i="6"/>
  <c r="AD60" i="6"/>
  <c r="AN60" i="6"/>
  <c r="AW61" i="6"/>
  <c r="AN59" i="6"/>
  <c r="BF59" i="6"/>
  <c r="AL61" i="6"/>
  <c r="AG61" i="6"/>
  <c r="AC61" i="6"/>
  <c r="AX61" i="6"/>
  <c r="BJ59" i="6"/>
  <c r="S40" i="6"/>
  <c r="S61" i="6"/>
  <c r="Z40" i="6"/>
  <c r="Z61" i="6"/>
  <c r="AA37" i="6"/>
  <c r="AA60" i="6"/>
  <c r="BL59" i="6"/>
  <c r="AC60" i="6"/>
  <c r="BK59" i="6"/>
  <c r="BK61" i="6"/>
  <c r="Y34" i="6"/>
  <c r="Y59" i="6"/>
  <c r="W61" i="6"/>
  <c r="W40" i="6"/>
  <c r="BI61" i="6"/>
  <c r="AM61" i="6"/>
  <c r="BC61" i="6"/>
  <c r="AO60" i="6"/>
  <c r="AF61" i="6"/>
  <c r="AL59" i="6"/>
  <c r="AK60" i="6"/>
  <c r="AZ61" i="6"/>
  <c r="AQ60" i="6"/>
  <c r="AR61" i="6"/>
  <c r="AG59" i="6"/>
  <c r="Y37" i="6"/>
  <c r="Y60" i="6"/>
  <c r="BH61" i="6"/>
  <c r="BH59" i="6"/>
  <c r="Z59" i="6"/>
  <c r="Z34" i="6"/>
  <c r="X59" i="6"/>
  <c r="X34" i="6"/>
  <c r="AV61" i="6"/>
  <c r="AL60" i="6"/>
  <c r="AH59" i="6"/>
  <c r="BC59" i="6"/>
  <c r="AY61" i="6"/>
  <c r="AB59" i="6"/>
  <c r="AQ59" i="6"/>
  <c r="AO59" i="6"/>
  <c r="T37" i="6"/>
  <c r="T60" i="6"/>
  <c r="BF61" i="6"/>
  <c r="AU61" i="6"/>
  <c r="U59" i="6"/>
  <c r="U34" i="6"/>
  <c r="AF59" i="6"/>
  <c r="BF60" i="6"/>
  <c r="X40" i="6"/>
  <c r="X61" i="6"/>
  <c r="AX59" i="6"/>
  <c r="AK61" i="6"/>
  <c r="AT59" i="6"/>
  <c r="BD59" i="6"/>
  <c r="AS61" i="6"/>
  <c r="K32" i="29" l="1"/>
  <c r="E98" i="29"/>
  <c r="F53" i="29"/>
  <c r="H49" i="29"/>
  <c r="E83" i="29"/>
  <c r="J83" i="29" s="1"/>
  <c r="D17" i="29"/>
  <c r="G21" i="29"/>
  <c r="H50" i="29"/>
  <c r="D77" i="29"/>
  <c r="I74" i="29"/>
  <c r="E30" i="29"/>
  <c r="E87" i="29"/>
  <c r="I48" i="29"/>
  <c r="G78" i="29"/>
  <c r="F92" i="29"/>
  <c r="H85" i="29"/>
  <c r="L85" i="29" s="1"/>
  <c r="G85" i="29"/>
  <c r="K85" i="29" s="1"/>
  <c r="D93" i="29"/>
  <c r="I34" i="29"/>
  <c r="I89" i="29"/>
  <c r="L99" i="29"/>
  <c r="I59" i="29"/>
  <c r="H48" i="29"/>
  <c r="G71" i="29"/>
  <c r="K71" i="29" s="1"/>
  <c r="D26" i="29"/>
  <c r="D41" i="29"/>
  <c r="M41" i="29" s="1"/>
  <c r="H43" i="29"/>
  <c r="D66" i="29"/>
  <c r="I56" i="29"/>
  <c r="G92" i="29"/>
  <c r="I51" i="29"/>
  <c r="D27" i="29"/>
  <c r="J27" i="29" s="1"/>
  <c r="I60" i="29"/>
  <c r="G54" i="29"/>
  <c r="H87" i="29"/>
  <c r="G72" i="29"/>
  <c r="K72" i="29" s="1"/>
  <c r="H93" i="29"/>
  <c r="G27" i="29"/>
  <c r="G20" i="29"/>
  <c r="G66" i="29"/>
  <c r="K66" i="29" s="1"/>
  <c r="I63" i="29"/>
  <c r="E15" i="29"/>
  <c r="H47" i="29"/>
  <c r="G65" i="29"/>
  <c r="E81" i="29"/>
  <c r="I77" i="29"/>
  <c r="E41" i="29"/>
  <c r="H98" i="29"/>
  <c r="F48" i="29"/>
  <c r="F46" i="29"/>
  <c r="F56" i="29"/>
  <c r="D76" i="29"/>
  <c r="G42" i="29"/>
  <c r="H59" i="29"/>
  <c r="L59" i="29" s="1"/>
  <c r="H38" i="29"/>
  <c r="I84" i="29"/>
  <c r="E88" i="29"/>
  <c r="I96" i="29"/>
  <c r="I79" i="29"/>
  <c r="E57" i="29"/>
  <c r="K76" i="29"/>
  <c r="D70" i="29"/>
  <c r="D51" i="29"/>
  <c r="I20" i="29"/>
  <c r="N20" i="29" s="1"/>
  <c r="G25" i="29"/>
  <c r="K93" i="29"/>
  <c r="H53" i="29"/>
  <c r="I36" i="29"/>
  <c r="G90" i="29"/>
  <c r="K90" i="29" s="1"/>
  <c r="D45" i="29"/>
  <c r="G80" i="29"/>
  <c r="K80" i="29" s="1"/>
  <c r="H34" i="29"/>
  <c r="E49" i="29"/>
  <c r="G35" i="29"/>
  <c r="K35" i="29" s="1"/>
  <c r="I28" i="29"/>
  <c r="I33" i="29"/>
  <c r="I42" i="29"/>
  <c r="E54" i="29"/>
  <c r="G29" i="29"/>
  <c r="K29" i="29" s="1"/>
  <c r="D101" i="29"/>
  <c r="G83" i="29"/>
  <c r="E79" i="29"/>
  <c r="I45" i="29"/>
  <c r="I23" i="29"/>
  <c r="D72" i="29"/>
  <c r="E22" i="29"/>
  <c r="K65" i="29"/>
  <c r="H31" i="29"/>
  <c r="G73" i="29"/>
  <c r="I91" i="29"/>
  <c r="I92" i="29"/>
  <c r="N92" i="29" s="1"/>
  <c r="D50" i="29"/>
  <c r="I37" i="29"/>
  <c r="D88" i="29"/>
  <c r="H23" i="29"/>
  <c r="D31" i="29"/>
  <c r="E86" i="29"/>
  <c r="E48" i="29"/>
  <c r="N48" i="29" s="1"/>
  <c r="H63" i="29"/>
  <c r="L63" i="29" s="1"/>
  <c r="E52" i="29"/>
  <c r="D22" i="29"/>
  <c r="H95" i="29"/>
  <c r="E17" i="29"/>
  <c r="I12" i="29"/>
  <c r="I67" i="29"/>
  <c r="G101" i="29"/>
  <c r="K101" i="29" s="1"/>
  <c r="I27" i="29"/>
  <c r="H36" i="29"/>
  <c r="G99" i="29"/>
  <c r="K99" i="29" s="1"/>
  <c r="K87" i="29"/>
  <c r="G53" i="29"/>
  <c r="I52" i="29"/>
  <c r="E90" i="29"/>
  <c r="N90" i="29" s="1"/>
  <c r="H12" i="29"/>
  <c r="L12" i="29" s="1"/>
  <c r="H84" i="29"/>
  <c r="G19" i="29"/>
  <c r="K19" i="29" s="1"/>
  <c r="I71" i="29"/>
  <c r="E46" i="29"/>
  <c r="G44" i="29"/>
  <c r="G96" i="29"/>
  <c r="E27" i="29"/>
  <c r="I69" i="29"/>
  <c r="H26" i="29"/>
  <c r="I68" i="29"/>
  <c r="G17" i="29"/>
  <c r="K17" i="29" s="1"/>
  <c r="H24" i="29"/>
  <c r="I29" i="29"/>
  <c r="D62" i="29"/>
  <c r="G74" i="29"/>
  <c r="K74" i="29" s="1"/>
  <c r="G23" i="29"/>
  <c r="I38" i="29"/>
  <c r="N38" i="29" s="1"/>
  <c r="G34" i="29"/>
  <c r="K34" i="29" s="1"/>
  <c r="E96" i="29"/>
  <c r="H46" i="29"/>
  <c r="E78" i="29"/>
  <c r="H56" i="29"/>
  <c r="L56" i="29" s="1"/>
  <c r="I101" i="29"/>
  <c r="L101" i="29" s="1"/>
  <c r="D99" i="29"/>
  <c r="H35" i="29"/>
  <c r="H89" i="29"/>
  <c r="L89" i="29" s="1"/>
  <c r="K42" i="29"/>
  <c r="J58" i="29"/>
  <c r="D98" i="29"/>
  <c r="G11" i="29"/>
  <c r="K11" i="29" s="1"/>
  <c r="E60" i="29"/>
  <c r="N60" i="29" s="1"/>
  <c r="H22" i="29"/>
  <c r="H40" i="29"/>
  <c r="H21" i="29"/>
  <c r="E67" i="29"/>
  <c r="M34" i="29"/>
  <c r="H86" i="29"/>
  <c r="E56" i="29"/>
  <c r="D100" i="29"/>
  <c r="G39" i="29"/>
  <c r="K39" i="29" s="1"/>
  <c r="I78" i="29"/>
  <c r="I24" i="29"/>
  <c r="D81" i="29"/>
  <c r="G41" i="29"/>
  <c r="G15" i="29"/>
  <c r="D15" i="29"/>
  <c r="D36" i="29"/>
  <c r="G22" i="29"/>
  <c r="K22" i="29" s="1"/>
  <c r="G86" i="29"/>
  <c r="K86" i="29" s="1"/>
  <c r="H45" i="29"/>
  <c r="L45" i="29" s="1"/>
  <c r="E68" i="29"/>
  <c r="K97" i="29"/>
  <c r="H61" i="29"/>
  <c r="D33" i="29"/>
  <c r="H73" i="29"/>
  <c r="D23" i="29"/>
  <c r="I11" i="29"/>
  <c r="D47" i="29"/>
  <c r="K23" i="29"/>
  <c r="K20" i="29"/>
  <c r="I41" i="29"/>
  <c r="K38" i="29"/>
  <c r="D91" i="29"/>
  <c r="I55" i="29"/>
  <c r="H71" i="29"/>
  <c r="D12" i="29"/>
  <c r="I30" i="29"/>
  <c r="K58" i="29"/>
  <c r="K96" i="29"/>
  <c r="I43" i="29"/>
  <c r="H54" i="29"/>
  <c r="H15" i="29"/>
  <c r="H78" i="29"/>
  <c r="L78" i="29" s="1"/>
  <c r="I73" i="29"/>
  <c r="E73" i="29"/>
  <c r="N70" i="29"/>
  <c r="E47" i="29"/>
  <c r="G67" i="29"/>
  <c r="H74" i="29"/>
  <c r="E69" i="29"/>
  <c r="D74" i="29"/>
  <c r="G64" i="29"/>
  <c r="K64" i="29" s="1"/>
  <c r="I64" i="29"/>
  <c r="I50" i="29"/>
  <c r="L50" i="29" s="1"/>
  <c r="I49" i="29"/>
  <c r="E36" i="29"/>
  <c r="G50" i="29"/>
  <c r="K50" i="29" s="1"/>
  <c r="E44" i="29"/>
  <c r="D57" i="29"/>
  <c r="G24" i="29"/>
  <c r="I18" i="29"/>
  <c r="I65" i="29"/>
  <c r="D49" i="29"/>
  <c r="N91" i="29"/>
  <c r="G75" i="29"/>
  <c r="K75" i="29" s="1"/>
  <c r="K62" i="29"/>
  <c r="H37" i="29"/>
  <c r="D97" i="29"/>
  <c r="I88" i="29"/>
  <c r="E97" i="29"/>
  <c r="D86" i="29"/>
  <c r="G98" i="29"/>
  <c r="K98" i="29" s="1"/>
  <c r="K81" i="29"/>
  <c r="K100" i="29"/>
  <c r="H11" i="29"/>
  <c r="L11" i="29" s="1"/>
  <c r="G84" i="29"/>
  <c r="K84" i="29" s="1"/>
  <c r="G95" i="29"/>
  <c r="D59" i="29"/>
  <c r="E77" i="29"/>
  <c r="E45" i="29"/>
  <c r="G57" i="29"/>
  <c r="G18" i="29"/>
  <c r="K18" i="29" s="1"/>
  <c r="K48" i="29"/>
  <c r="G31" i="29"/>
  <c r="K31" i="29" s="1"/>
  <c r="K25" i="29"/>
  <c r="I35" i="29"/>
  <c r="E35" i="29"/>
  <c r="E85" i="29"/>
  <c r="J60" i="29"/>
  <c r="I57" i="29"/>
  <c r="E89" i="29"/>
  <c r="I93" i="29"/>
  <c r="J29" i="29"/>
  <c r="D37" i="29"/>
  <c r="G79" i="29"/>
  <c r="K79" i="29" s="1"/>
  <c r="D67" i="29"/>
  <c r="E101" i="29"/>
  <c r="N101" i="29" s="1"/>
  <c r="E94" i="29"/>
  <c r="H14" i="29"/>
  <c r="L14" i="29" s="1"/>
  <c r="K67" i="29"/>
  <c r="D46" i="29"/>
  <c r="D92" i="29"/>
  <c r="G59" i="29"/>
  <c r="K59" i="29" s="1"/>
  <c r="H52" i="29"/>
  <c r="L52" i="29" s="1"/>
  <c r="I97" i="29"/>
  <c r="L97" i="29" s="1"/>
  <c r="G37" i="29"/>
  <c r="K37" i="29" s="1"/>
  <c r="G26" i="29"/>
  <c r="K26" i="29" s="1"/>
  <c r="G45" i="29"/>
  <c r="K45" i="29" s="1"/>
  <c r="K61" i="29"/>
  <c r="G55" i="29"/>
  <c r="K55" i="29" s="1"/>
  <c r="I47" i="29"/>
  <c r="L47" i="29" s="1"/>
  <c r="I17" i="29"/>
  <c r="E93" i="29"/>
  <c r="L43" i="29"/>
  <c r="K41" i="29"/>
  <c r="K56" i="29"/>
  <c r="K54" i="29"/>
  <c r="E84" i="29"/>
  <c r="H27" i="29"/>
  <c r="L27" i="29" s="1"/>
  <c r="E39" i="29"/>
  <c r="I80" i="29"/>
  <c r="I86" i="29"/>
  <c r="I61" i="29"/>
  <c r="D80" i="29"/>
  <c r="D56" i="29"/>
  <c r="D55" i="29"/>
  <c r="H42" i="29"/>
  <c r="L42" i="29" s="1"/>
  <c r="H66" i="29"/>
  <c r="M66" i="29" s="1"/>
  <c r="K95" i="29"/>
  <c r="D89" i="29"/>
  <c r="K70" i="29"/>
  <c r="H39" i="29"/>
  <c r="I94" i="29"/>
  <c r="H60" i="29"/>
  <c r="L60" i="29" s="1"/>
  <c r="H94" i="29"/>
  <c r="G47" i="29"/>
  <c r="K47" i="29" s="1"/>
  <c r="D61" i="29"/>
  <c r="G36" i="29"/>
  <c r="K36" i="29" s="1"/>
  <c r="I62" i="29"/>
  <c r="H51" i="29"/>
  <c r="L51" i="29" s="1"/>
  <c r="E26" i="29"/>
  <c r="H30" i="29"/>
  <c r="L30" i="29" s="1"/>
  <c r="G33" i="29"/>
  <c r="E28" i="29"/>
  <c r="J19" i="29"/>
  <c r="M19" i="29"/>
  <c r="K33" i="22"/>
  <c r="I32" i="29" s="1"/>
  <c r="L32" i="29" s="1"/>
  <c r="I13" i="29"/>
  <c r="L13" i="29" s="1"/>
  <c r="E62" i="29"/>
  <c r="I75" i="29"/>
  <c r="H77" i="29"/>
  <c r="L77" i="29" s="1"/>
  <c r="M38" i="29"/>
  <c r="J38" i="29"/>
  <c r="E12" i="29"/>
  <c r="E80" i="29"/>
  <c r="N80" i="29" s="1"/>
  <c r="E74" i="29"/>
  <c r="N74" i="29" s="1"/>
  <c r="G82" i="29"/>
  <c r="K82" i="29" s="1"/>
  <c r="D48" i="29"/>
  <c r="D85" i="29"/>
  <c r="H90" i="29"/>
  <c r="L90" i="29" s="1"/>
  <c r="D35" i="29"/>
  <c r="D63" i="29"/>
  <c r="H80" i="29"/>
  <c r="E76" i="29"/>
  <c r="N76" i="29" s="1"/>
  <c r="H79" i="29"/>
  <c r="L79" i="29" s="1"/>
  <c r="K83" i="29"/>
  <c r="I31" i="29"/>
  <c r="N31" i="29" s="1"/>
  <c r="H62" i="29"/>
  <c r="E61" i="29"/>
  <c r="N61" i="29" s="1"/>
  <c r="I85" i="29"/>
  <c r="K44" i="29"/>
  <c r="K53" i="29"/>
  <c r="H91" i="29"/>
  <c r="L91" i="29" s="1"/>
  <c r="L49" i="29"/>
  <c r="D65" i="29"/>
  <c r="G63" i="29"/>
  <c r="N63" i="29" s="1"/>
  <c r="D79" i="29"/>
  <c r="E53" i="29"/>
  <c r="I66" i="29"/>
  <c r="E75" i="29"/>
  <c r="I15" i="29"/>
  <c r="H88" i="29"/>
  <c r="L41" i="29"/>
  <c r="J17" i="29"/>
  <c r="D90" i="29"/>
  <c r="K52" i="29"/>
  <c r="K21" i="29"/>
  <c r="H33" i="29"/>
  <c r="L33" i="29" s="1"/>
  <c r="H17" i="29"/>
  <c r="I82" i="29"/>
  <c r="H67" i="29"/>
  <c r="L67" i="29" s="1"/>
  <c r="Q103" i="22"/>
  <c r="H83" i="29"/>
  <c r="K73" i="29"/>
  <c r="K91" i="29"/>
  <c r="H57" i="29"/>
  <c r="E95" i="29"/>
  <c r="I53" i="29"/>
  <c r="I44" i="29"/>
  <c r="H18" i="29"/>
  <c r="L18" i="29" s="1"/>
  <c r="G30" i="29"/>
  <c r="N30" i="29" s="1"/>
  <c r="I81" i="29"/>
  <c r="N81" i="29" s="1"/>
  <c r="J33" i="22"/>
  <c r="E32" i="29" s="1"/>
  <c r="E13" i="29"/>
  <c r="N87" i="29"/>
  <c r="M71" i="29"/>
  <c r="H44" i="29"/>
  <c r="M44" i="29" s="1"/>
  <c r="E82" i="29"/>
  <c r="D75" i="29"/>
  <c r="I54" i="29"/>
  <c r="M40" i="29"/>
  <c r="D11" i="29"/>
  <c r="I26" i="29"/>
  <c r="H92" i="29"/>
  <c r="L92" i="29" s="1"/>
  <c r="H68" i="29"/>
  <c r="L68" i="29" s="1"/>
  <c r="H76" i="29"/>
  <c r="L76" i="29" s="1"/>
  <c r="D94" i="29"/>
  <c r="K69" i="29"/>
  <c r="D95" i="29"/>
  <c r="E34" i="29"/>
  <c r="N34" i="29" s="1"/>
  <c r="D24" i="29"/>
  <c r="H75" i="29"/>
  <c r="E11" i="29"/>
  <c r="N11" i="29" s="1"/>
  <c r="D25" i="29"/>
  <c r="D53" i="29"/>
  <c r="E40" i="29"/>
  <c r="J40" i="29" s="1"/>
  <c r="D18" i="29"/>
  <c r="I40" i="29"/>
  <c r="D28" i="29"/>
  <c r="D39" i="29"/>
  <c r="H65" i="29"/>
  <c r="K57" i="29"/>
  <c r="G14" i="29"/>
  <c r="K14" i="29" s="1"/>
  <c r="E72" i="29"/>
  <c r="K92" i="29"/>
  <c r="D30" i="29"/>
  <c r="E99" i="29"/>
  <c r="M93" i="29"/>
  <c r="E55" i="29"/>
  <c r="K68" i="29"/>
  <c r="K78" i="29"/>
  <c r="E59" i="29"/>
  <c r="K63" i="29"/>
  <c r="H69" i="29"/>
  <c r="H96" i="29"/>
  <c r="L96" i="29" s="1"/>
  <c r="H28" i="29"/>
  <c r="L28" i="29" s="1"/>
  <c r="K27" i="29"/>
  <c r="D14" i="29"/>
  <c r="K30" i="29"/>
  <c r="I46" i="29"/>
  <c r="K33" i="29"/>
  <c r="I87" i="29"/>
  <c r="L87" i="29" s="1"/>
  <c r="G12" i="29"/>
  <c r="K12" i="29" s="1"/>
  <c r="I83" i="29"/>
  <c r="N83" i="29" s="1"/>
  <c r="M84" i="29"/>
  <c r="H58" i="29"/>
  <c r="M58" i="29" s="1"/>
  <c r="L25" i="29"/>
  <c r="I22" i="29"/>
  <c r="D69" i="29"/>
  <c r="G28" i="29"/>
  <c r="K28" i="29" s="1"/>
  <c r="M43" i="29"/>
  <c r="J43" i="29"/>
  <c r="E71" i="29"/>
  <c r="N71" i="29" s="1"/>
  <c r="H70" i="29"/>
  <c r="L70" i="29" s="1"/>
  <c r="G89" i="29"/>
  <c r="K89" i="29" s="1"/>
  <c r="G46" i="29"/>
  <c r="K46" i="29" s="1"/>
  <c r="H29" i="29"/>
  <c r="L29" i="29" s="1"/>
  <c r="I100" i="29"/>
  <c r="N100" i="29" s="1"/>
  <c r="G43" i="29"/>
  <c r="K43" i="29" s="1"/>
  <c r="H20" i="29"/>
  <c r="L20" i="29" s="1"/>
  <c r="D87" i="29"/>
  <c r="G94" i="29"/>
  <c r="K94" i="29" s="1"/>
  <c r="J21" i="29"/>
  <c r="M21" i="29"/>
  <c r="J73" i="29"/>
  <c r="M73" i="29"/>
  <c r="E42" i="29"/>
  <c r="N42" i="29" s="1"/>
  <c r="I19" i="29"/>
  <c r="L19" i="29" s="1"/>
  <c r="H82" i="29"/>
  <c r="L82" i="29" s="1"/>
  <c r="K88" i="29"/>
  <c r="E18" i="29"/>
  <c r="G51" i="29"/>
  <c r="K51" i="29" s="1"/>
  <c r="I39" i="29"/>
  <c r="E64" i="29"/>
  <c r="N64" i="29" s="1"/>
  <c r="G77" i="29"/>
  <c r="K77" i="29" s="1"/>
  <c r="D20" i="29"/>
  <c r="E37" i="29"/>
  <c r="J44" i="29"/>
  <c r="I98" i="29"/>
  <c r="L48" i="29"/>
  <c r="H64" i="29"/>
  <c r="L64" i="29" s="1"/>
  <c r="E25" i="29"/>
  <c r="N25" i="29" s="1"/>
  <c r="I58" i="29"/>
  <c r="N58" i="29" s="1"/>
  <c r="I72" i="29"/>
  <c r="L72" i="29" s="1"/>
  <c r="D54" i="29"/>
  <c r="E66" i="29"/>
  <c r="I95" i="29"/>
  <c r="D78" i="29"/>
  <c r="D96" i="29"/>
  <c r="H55" i="29"/>
  <c r="L55" i="29" s="1"/>
  <c r="J26" i="29"/>
  <c r="M26" i="29"/>
  <c r="I21" i="29"/>
  <c r="N21" i="29" s="1"/>
  <c r="E65" i="29"/>
  <c r="N65" i="29" s="1"/>
  <c r="D42" i="29"/>
  <c r="E33" i="29"/>
  <c r="N33" i="29" s="1"/>
  <c r="H103" i="22"/>
  <c r="H11" i="22" s="1"/>
  <c r="F17" i="22"/>
  <c r="W17" i="22"/>
  <c r="W103" i="22" s="1"/>
  <c r="W11" i="22" s="1"/>
  <c r="Q17" i="22"/>
  <c r="Z17" i="22"/>
  <c r="Z103" i="22" s="1"/>
  <c r="E17" i="22"/>
  <c r="G17" i="22"/>
  <c r="G103" i="22" s="1"/>
  <c r="V17" i="22"/>
  <c r="V103" i="22" s="1"/>
  <c r="O17" i="22"/>
  <c r="O103" i="22" s="1"/>
  <c r="L17" i="22"/>
  <c r="L103" i="22" s="1"/>
  <c r="Y17" i="22"/>
  <c r="Y103" i="22" s="1"/>
  <c r="Y11" i="22" s="1"/>
  <c r="I17" i="22"/>
  <c r="I103" i="22" s="1"/>
  <c r="I11" i="22" s="1"/>
  <c r="X17" i="22"/>
  <c r="X103" i="22" s="1"/>
  <c r="K17" i="22"/>
  <c r="T17" i="22"/>
  <c r="U17" i="22"/>
  <c r="U103" i="22" s="1"/>
  <c r="U11" i="22" s="1"/>
  <c r="R17" i="22"/>
  <c r="S17" i="22"/>
  <c r="S103" i="22" s="1"/>
  <c r="P17" i="22"/>
  <c r="N17" i="22"/>
  <c r="N103" i="22" s="1"/>
  <c r="M17" i="22"/>
  <c r="M103" i="22" s="1"/>
  <c r="M11" i="22" s="1"/>
  <c r="J17" i="22"/>
  <c r="L98" i="29" l="1"/>
  <c r="N75" i="29"/>
  <c r="L80" i="29"/>
  <c r="N84" i="29"/>
  <c r="O84" i="29" s="1"/>
  <c r="N37" i="29"/>
  <c r="M27" i="29"/>
  <c r="O27" i="29" s="1"/>
  <c r="M68" i="29"/>
  <c r="O68" i="29" s="1"/>
  <c r="J41" i="29"/>
  <c r="N82" i="29"/>
  <c r="N68" i="29"/>
  <c r="N24" i="29"/>
  <c r="N29" i="29"/>
  <c r="N99" i="29"/>
  <c r="L75" i="29"/>
  <c r="N93" i="29"/>
  <c r="L37" i="29"/>
  <c r="L71" i="29"/>
  <c r="M17" i="29"/>
  <c r="N23" i="29"/>
  <c r="N41" i="29"/>
  <c r="N15" i="29"/>
  <c r="N73" i="29"/>
  <c r="O73" i="29" s="1"/>
  <c r="K24" i="29"/>
  <c r="L62" i="29"/>
  <c r="N56" i="29"/>
  <c r="N27" i="29"/>
  <c r="L88" i="29"/>
  <c r="N18" i="29"/>
  <c r="N55" i="29"/>
  <c r="L57" i="29"/>
  <c r="N66" i="29"/>
  <c r="J93" i="29"/>
  <c r="K15" i="29"/>
  <c r="N14" i="29"/>
  <c r="L93" i="29"/>
  <c r="J77" i="29"/>
  <c r="L74" i="29"/>
  <c r="N96" i="29"/>
  <c r="L34" i="29"/>
  <c r="O93" i="29"/>
  <c r="N53" i="29"/>
  <c r="L84" i="29"/>
  <c r="O71" i="29"/>
  <c r="L94" i="29"/>
  <c r="M60" i="29"/>
  <c r="O60" i="29" s="1"/>
  <c r="L24" i="29"/>
  <c r="L23" i="29"/>
  <c r="O58" i="29"/>
  <c r="L69" i="29"/>
  <c r="J84" i="29"/>
  <c r="N59" i="29"/>
  <c r="L65" i="29"/>
  <c r="N97" i="29"/>
  <c r="M78" i="29"/>
  <c r="J78" i="29"/>
  <c r="N32" i="29"/>
  <c r="O32" i="29" s="1"/>
  <c r="J32" i="29"/>
  <c r="J65" i="29"/>
  <c r="M65" i="29"/>
  <c r="O65" i="29" s="1"/>
  <c r="J63" i="29"/>
  <c r="M63" i="29"/>
  <c r="O63" i="29" s="1"/>
  <c r="M56" i="29"/>
  <c r="O56" i="29" s="1"/>
  <c r="J56" i="29"/>
  <c r="J81" i="29"/>
  <c r="M81" i="29"/>
  <c r="O81" i="29" s="1"/>
  <c r="L46" i="29"/>
  <c r="N46" i="29"/>
  <c r="M50" i="29"/>
  <c r="J50" i="29"/>
  <c r="N57" i="29"/>
  <c r="H16" i="29"/>
  <c r="L100" i="29"/>
  <c r="M39" i="29"/>
  <c r="J39" i="29"/>
  <c r="J35" i="29"/>
  <c r="M35" i="29"/>
  <c r="N62" i="29"/>
  <c r="J80" i="29"/>
  <c r="M80" i="29"/>
  <c r="O80" i="29" s="1"/>
  <c r="M12" i="29"/>
  <c r="J12" i="29"/>
  <c r="J68" i="29"/>
  <c r="M45" i="29"/>
  <c r="J45" i="29"/>
  <c r="J103" i="22"/>
  <c r="E16" i="29"/>
  <c r="I16" i="29"/>
  <c r="J28" i="29"/>
  <c r="M28" i="29"/>
  <c r="N43" i="29"/>
  <c r="N94" i="29"/>
  <c r="M49" i="29"/>
  <c r="J49" i="29"/>
  <c r="N47" i="29"/>
  <c r="M98" i="29"/>
  <c r="J98" i="29"/>
  <c r="N17" i="29"/>
  <c r="O17" i="29" s="1"/>
  <c r="N79" i="29"/>
  <c r="J11" i="29"/>
  <c r="M11" i="29"/>
  <c r="O11" i="29" s="1"/>
  <c r="J90" i="29"/>
  <c r="M90" i="29"/>
  <c r="O90" i="29" s="1"/>
  <c r="M61" i="29"/>
  <c r="O61" i="29" s="1"/>
  <c r="J61" i="29"/>
  <c r="L95" i="29"/>
  <c r="M18" i="29"/>
  <c r="O18" i="29" s="1"/>
  <c r="J18" i="29"/>
  <c r="J85" i="29"/>
  <c r="M85" i="29"/>
  <c r="J67" i="29"/>
  <c r="M67" i="29"/>
  <c r="J86" i="29"/>
  <c r="M86" i="29"/>
  <c r="J91" i="29"/>
  <c r="M91" i="29"/>
  <c r="O91" i="29" s="1"/>
  <c r="J100" i="29"/>
  <c r="M100" i="29"/>
  <c r="O100" i="29" s="1"/>
  <c r="L53" i="29"/>
  <c r="N88" i="29"/>
  <c r="J48" i="29"/>
  <c r="M48" i="29"/>
  <c r="O48" i="29" s="1"/>
  <c r="J22" i="29"/>
  <c r="M22" i="29"/>
  <c r="F103" i="22"/>
  <c r="G102" i="29" s="1"/>
  <c r="G16" i="29"/>
  <c r="J53" i="29"/>
  <c r="M53" i="29"/>
  <c r="N19" i="29"/>
  <c r="O19" i="29" s="1"/>
  <c r="M37" i="29"/>
  <c r="O37" i="29" s="1"/>
  <c r="J37" i="29"/>
  <c r="J57" i="29"/>
  <c r="M57" i="29"/>
  <c r="N98" i="29"/>
  <c r="N51" i="29"/>
  <c r="M62" i="29"/>
  <c r="J62" i="29"/>
  <c r="J101" i="29"/>
  <c r="M101" i="29"/>
  <c r="O101" i="29" s="1"/>
  <c r="J82" i="29"/>
  <c r="R103" i="22"/>
  <c r="F16" i="29"/>
  <c r="K16" i="29" s="1"/>
  <c r="J25" i="29"/>
  <c r="M25" i="29"/>
  <c r="O25" i="29" s="1"/>
  <c r="M75" i="29"/>
  <c r="O75" i="29" s="1"/>
  <c r="J75" i="29"/>
  <c r="N95" i="29"/>
  <c r="J66" i="29"/>
  <c r="N39" i="29"/>
  <c r="M97" i="29"/>
  <c r="O97" i="29" s="1"/>
  <c r="J97" i="29"/>
  <c r="N44" i="29"/>
  <c r="N52" i="29"/>
  <c r="L31" i="29"/>
  <c r="M82" i="29"/>
  <c r="O82" i="29" s="1"/>
  <c r="N40" i="29"/>
  <c r="O40" i="29" s="1"/>
  <c r="O43" i="29"/>
  <c r="O66" i="29"/>
  <c r="M29" i="29"/>
  <c r="O29" i="29" s="1"/>
  <c r="L86" i="29"/>
  <c r="M52" i="29"/>
  <c r="N50" i="29"/>
  <c r="T103" i="22"/>
  <c r="D16" i="29"/>
  <c r="L44" i="29"/>
  <c r="N12" i="29"/>
  <c r="L39" i="29"/>
  <c r="M64" i="29"/>
  <c r="O64" i="29" s="1"/>
  <c r="N45" i="29"/>
  <c r="N36" i="29"/>
  <c r="L81" i="29"/>
  <c r="J47" i="29"/>
  <c r="M47" i="29"/>
  <c r="O47" i="29" s="1"/>
  <c r="O34" i="29"/>
  <c r="J52" i="29"/>
  <c r="N54" i="29"/>
  <c r="J51" i="29"/>
  <c r="M51" i="29"/>
  <c r="L38" i="29"/>
  <c r="J54" i="29"/>
  <c r="M54" i="29"/>
  <c r="O54" i="29" s="1"/>
  <c r="M42" i="29"/>
  <c r="O42" i="29" s="1"/>
  <c r="J42" i="29"/>
  <c r="K103" i="22"/>
  <c r="O21" i="29"/>
  <c r="M69" i="29"/>
  <c r="J69" i="29"/>
  <c r="M14" i="29"/>
  <c r="O14" i="29" s="1"/>
  <c r="J14" i="29"/>
  <c r="M30" i="29"/>
  <c r="O30" i="29" s="1"/>
  <c r="J30" i="29"/>
  <c r="M24" i="29"/>
  <c r="O24" i="29" s="1"/>
  <c r="J24" i="29"/>
  <c r="J71" i="29"/>
  <c r="J64" i="29"/>
  <c r="N89" i="29"/>
  <c r="N77" i="29"/>
  <c r="L15" i="29"/>
  <c r="M77" i="29"/>
  <c r="J34" i="29"/>
  <c r="L35" i="29"/>
  <c r="N86" i="29"/>
  <c r="O44" i="29"/>
  <c r="L83" i="29"/>
  <c r="N28" i="29"/>
  <c r="J89" i="29"/>
  <c r="M89" i="29"/>
  <c r="J59" i="29"/>
  <c r="M59" i="29"/>
  <c r="L54" i="29"/>
  <c r="M23" i="29"/>
  <c r="J23" i="29"/>
  <c r="M36" i="29"/>
  <c r="J36" i="29"/>
  <c r="N67" i="29"/>
  <c r="J99" i="29"/>
  <c r="M99" i="29"/>
  <c r="L26" i="29"/>
  <c r="J31" i="29"/>
  <c r="M31" i="29"/>
  <c r="O31" i="29" s="1"/>
  <c r="M70" i="29"/>
  <c r="O70" i="29" s="1"/>
  <c r="J70" i="29"/>
  <c r="N72" i="29"/>
  <c r="M95" i="29"/>
  <c r="O95" i="29" s="1"/>
  <c r="J95" i="29"/>
  <c r="H102" i="29"/>
  <c r="O38" i="29"/>
  <c r="L73" i="29"/>
  <c r="J15" i="29"/>
  <c r="M15" i="29"/>
  <c r="O15" i="29" s="1"/>
  <c r="L21" i="29"/>
  <c r="M76" i="29"/>
  <c r="O76" i="29" s="1"/>
  <c r="J76" i="29"/>
  <c r="J20" i="29"/>
  <c r="M20" i="29"/>
  <c r="O20" i="29" s="1"/>
  <c r="J87" i="29"/>
  <c r="M87" i="29"/>
  <c r="O87" i="29" s="1"/>
  <c r="L58" i="29"/>
  <c r="L66" i="29"/>
  <c r="J92" i="29"/>
  <c r="M92" i="29"/>
  <c r="O92" i="29" s="1"/>
  <c r="J33" i="29"/>
  <c r="M33" i="29"/>
  <c r="O33" i="29" s="1"/>
  <c r="L40" i="29"/>
  <c r="L36" i="29"/>
  <c r="N22" i="29"/>
  <c r="O41" i="29"/>
  <c r="M94" i="29"/>
  <c r="J94" i="29"/>
  <c r="J79" i="29"/>
  <c r="M79" i="29"/>
  <c r="O79" i="29" s="1"/>
  <c r="M83" i="29"/>
  <c r="O83" i="29" s="1"/>
  <c r="N26" i="29"/>
  <c r="O26" i="29" s="1"/>
  <c r="M46" i="29"/>
  <c r="O46" i="29" s="1"/>
  <c r="J46" i="29"/>
  <c r="N85" i="29"/>
  <c r="J74" i="29"/>
  <c r="M74" i="29"/>
  <c r="O74" i="29" s="1"/>
  <c r="L61" i="29"/>
  <c r="J88" i="29"/>
  <c r="M88" i="29"/>
  <c r="M72" i="29"/>
  <c r="O72" i="29" s="1"/>
  <c r="J72" i="29"/>
  <c r="N49" i="29"/>
  <c r="M96" i="29"/>
  <c r="J96" i="29"/>
  <c r="N13" i="29"/>
  <c r="O13" i="29" s="1"/>
  <c r="J13" i="29"/>
  <c r="L17" i="29"/>
  <c r="J55" i="29"/>
  <c r="M55" i="29"/>
  <c r="N35" i="29"/>
  <c r="N69" i="29"/>
  <c r="L22" i="29"/>
  <c r="N78" i="29"/>
  <c r="G11" i="22"/>
  <c r="N11" i="22"/>
  <c r="P11" i="22"/>
  <c r="V11" i="22"/>
  <c r="L11" i="22"/>
  <c r="Z11" i="22"/>
  <c r="X11" i="22"/>
  <c r="S11" i="22"/>
  <c r="E103" i="22"/>
  <c r="O11" i="22"/>
  <c r="O96" i="29" l="1"/>
  <c r="O99" i="29"/>
  <c r="O23" i="29"/>
  <c r="N16" i="29"/>
  <c r="O36" i="29"/>
  <c r="O45" i="29"/>
  <c r="O57" i="29"/>
  <c r="O59" i="29"/>
  <c r="O51" i="29"/>
  <c r="O55" i="29"/>
  <c r="O53" i="29"/>
  <c r="O67" i="29"/>
  <c r="O94" i="29"/>
  <c r="D103" i="29"/>
  <c r="D102" i="29"/>
  <c r="E102" i="29"/>
  <c r="K11" i="22"/>
  <c r="O50" i="29"/>
  <c r="O52" i="29"/>
  <c r="I103" i="29"/>
  <c r="I102" i="29"/>
  <c r="L102" i="29" s="1"/>
  <c r="O89" i="29"/>
  <c r="O86" i="29"/>
  <c r="O78" i="29"/>
  <c r="O12" i="29"/>
  <c r="M16" i="29"/>
  <c r="J16" i="29"/>
  <c r="F102" i="29"/>
  <c r="K102" i="29" s="1"/>
  <c r="O69" i="29"/>
  <c r="O49" i="29"/>
  <c r="O35" i="29"/>
  <c r="O85" i="29"/>
  <c r="O22" i="29"/>
  <c r="Q11" i="22"/>
  <c r="H103" i="29"/>
  <c r="O77" i="29"/>
  <c r="O28" i="29"/>
  <c r="O39" i="29"/>
  <c r="O98" i="29"/>
  <c r="O88" i="29"/>
  <c r="O62" i="29"/>
  <c r="L16" i="29"/>
  <c r="T11" i="22" l="1"/>
  <c r="O16" i="29"/>
  <c r="N102" i="29"/>
  <c r="F11" i="22"/>
  <c r="G103" i="29"/>
  <c r="L103" i="29"/>
  <c r="R11" i="22"/>
  <c r="F103" i="29"/>
  <c r="E11" i="22"/>
  <c r="J11" i="22"/>
  <c r="E103" i="29"/>
  <c r="M102" i="29"/>
  <c r="J102" i="29"/>
  <c r="O102" i="29" l="1"/>
  <c r="N103" i="29"/>
  <c r="K103" i="29"/>
  <c r="J103" i="29"/>
  <c r="M103" i="29"/>
  <c r="O103"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tc={91947137-81E8-453D-BDF3-2F8ABA7ED76F}</author>
    <author>tc={C990694D-B3B8-48BE-B1CC-9CEB719E2BD4}</author>
  </authors>
  <commentList>
    <comment ref="CY2" authorId="0" shapeId="0" xr:uid="{91947137-81E8-453D-BDF3-2F8ABA7ED76F}">
      <text>
        <t>[Threaded comment]
Your version of Excel allows you to read this threaded comment; however, any edits to it will get removed if the file is opened in a newer version of Excel. Learn more: https://go.microsoft.com/fwlink/?linkid=870924
Comment:
    Empty cells since this was a background sample.</t>
      </text>
    </comment>
    <comment ref="CY25" authorId="1" shapeId="0" xr:uid="{C990694D-B3B8-48BE-B1CC-9CEB719E2BD4}">
      <text>
        <t>[Threaded comment]
Your version of Excel allows you to read this threaded comment; however, any edits to it will get removed if the file is opened in a newer version of Excel. Learn more: https://go.microsoft.com/fwlink/?linkid=870924
Comment:
    Empty cells since this was a background sample.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tc={0D84C548-DD96-452D-9A34-2192EB61FB24}</author>
    <author>tc={A80A1EC2-61A6-47ED-9643-4CCFD2978610}</author>
    <author>tc={A54869A2-1A48-4EFE-BB12-C23E24ACFCA1}</author>
    <author>tc={CB434945-0B78-4DBD-9996-DB430C9E3169}</author>
    <author>tc={6D9EB87D-A1BB-4F44-A286-26589335A7DE}</author>
    <author>tc={718E43D5-466D-4FC2-938A-9CD7C96B68CD}</author>
    <author>tc={3CDBA8D3-3294-4786-9B27-5FB3FDDC7EA5}</author>
    <author>tc={13DB1E12-BA2A-4D9E-94C1-4474B0A0171A}</author>
    <author>tc={55C2342D-9BFE-441E-A164-9C01EBB20D3E}</author>
    <author>tc={F1D13175-AE43-4899-AD84-34E4962C4EFB}</author>
    <author>tc={F65097DA-9791-47CA-8E0A-C5A1BBAA5F55}</author>
    <author>tc={787EB53E-DBF6-4CA7-BF29-3719FAF12B36}</author>
    <author>tc={591B2F33-5C92-4915-BB53-8D3683D2E879}</author>
    <author>tc={D441F96C-96B7-495A-8F65-C1BD2F81CAE3}</author>
    <author>tc={B76D5B28-A1EC-402B-A3ED-E20F03105EB4}</author>
    <author>tc={3D8DA796-B520-4C2F-A0B2-D835418B23B1}</author>
    <author>tc={24647D87-7998-4FF7-8FCA-E21EEFAAB72E}</author>
    <author>tc={7A6D4A4B-56A3-4F23-9F40-5236F38FDB33}</author>
    <author>tc={5018EF8B-4EBB-4853-B217-302226E68504}</author>
    <author>tc={C51EE6A3-BA0E-452A-A74D-D9E9A2510421}</author>
    <author>tc={BA2142C5-559C-4909-981D-6E830F1FDA77}</author>
    <author>tc={A9016D02-CADB-4D5B-BF98-4EF9309CA421}</author>
    <author>tc={28002A98-504E-4084-9165-C7151A4D8F74}</author>
    <author>tc={1D671747-7996-4374-8A8D-3567776676A9}</author>
    <author>tc={C5B97171-36B9-44E3-B55F-5876511360A5}</author>
    <author>tc={932A1AA1-5CA0-44AC-BD39-7E4C658F38A1}</author>
    <author>tc={28B7EFBE-4373-4011-B77E-0440E1191281}</author>
    <author>tc={CB2F6838-871C-4A32-91B0-3903A87A2589}</author>
    <author>tc={2AF80B2C-00BA-4EE2-97EE-25E0D395B152}</author>
    <author>tc={E7015DFB-46A9-4135-BC12-6F70965AF46B}</author>
    <author>tc={BF2DDB63-8322-4C60-B424-2F8328730959}</author>
    <author>tc={F641E931-3DAA-48F7-A0AA-0A75FDD51FCC}</author>
    <author>tc={BF2CE5FF-DD5D-40F0-A5F4-1323CA11C602}</author>
    <author>tc={EDF53CE7-BD55-455D-99DB-131DCD344843}</author>
    <author>tc={BD703994-A823-4C8B-9B7F-4DAF6399BC7E}</author>
    <author>tc={3C833F36-11C2-445C-9884-7CF28A400946}</author>
    <author>tc={6D3C03B3-A122-4BAF-AEFB-53BDF1433B33}</author>
    <author>tc={CC141DE5-7902-47BD-BD5E-953F8E2EE685}</author>
    <author>tc={403A4675-E142-4A85-A45E-81CBB8FAD3BD}</author>
    <author>tc={185CAA03-18D0-48CF-9A18-F4E45E443CA7}</author>
    <author>tc={FC05A7D4-A755-4C87-9DA6-5BD42F77C12E}</author>
    <author>tc={D56E557D-EE77-47D0-A3D6-EBDF59EE6E68}</author>
    <author>tc={97EB7AA3-74E2-4772-970D-B797050F8FF0}</author>
    <author>tc={341B4A11-D671-4E15-BED9-952F425C4651}</author>
    <author>tc={FFDCC421-7BA9-486A-A04E-FBE1F13FCA6C}</author>
    <author>tc={356F634D-DDCB-45AC-BAA2-89D1B1F07C7B}</author>
    <author>tc={7DB377DB-B290-4C04-8922-E8F5C381908B}</author>
    <author>tc={F1F89283-BB2A-421C-A2E5-C3E4DBC16736}</author>
    <author>tc={5B9798FA-0DD0-4BC4-91DE-5526149DB040}</author>
    <author>tc={450FDC1C-05AF-47CF-B2EB-18DC9C315423}</author>
    <author>tc={93A8BD8F-8226-4C72-9EA4-5C31B8A824E1}</author>
    <author>tc={A16513E2-950D-486E-B150-5683F355A9ED}</author>
    <author>tc={D8033B73-0A35-45D5-980F-18576CC31CDA}</author>
    <author>tc={55874B63-99A4-4EFC-B92B-202590FADDCD}</author>
    <author>tc={3299A10F-A74A-45FA-B515-FEABF4A941D2}</author>
    <author>tc={E60F121E-EA96-48AB-BD51-4EE2B2B5F800}</author>
  </authors>
  <commentList>
    <comment ref="N2" authorId="0" shapeId="0" xr:uid="{0D84C548-DD96-452D-9A34-2192EB61FB24}">
      <text>
        <t>[Threaded comment]
Your version of Excel allows you to read this threaded comment; however, any edits to it will get removed if the file is opened in a newer version of Excel. Learn more: https://go.microsoft.com/fwlink/?linkid=870924
Comment:
    Methane analyzer not working</t>
      </text>
    </comment>
    <comment ref="Y2" authorId="1" shapeId="0" xr:uid="{A80A1EC2-61A6-47ED-9643-4CCFD2978610}">
      <text>
        <t>[Threaded comment]
Your version of Excel allows you to read this threaded comment; however, any edits to it will get removed if the file is opened in a newer version of Excel. Learn more: https://go.microsoft.com/fwlink/?linkid=870924
Comment:
    Not sampling</t>
      </text>
    </comment>
    <comment ref="Z2" authorId="2" shapeId="0" xr:uid="{A54869A2-1A48-4EFE-BB12-C23E24ACFCA1}">
      <text>
        <t>[Threaded comment]
Your version of Excel allows you to read this threaded comment; however, any edits to it will get removed if the file is opened in a newer version of Excel. Learn more: https://go.microsoft.com/fwlink/?linkid=870924
Comment:
    Not sampling</t>
      </text>
    </comment>
    <comment ref="AA2" authorId="3" shapeId="0" xr:uid="{CB434945-0B78-4DBD-9996-DB430C9E3169}">
      <text>
        <t>[Threaded comment]
Your version of Excel allows you to read this threaded comment; however, any edits to it will get removed if the file is opened in a newer version of Excel. Learn more: https://go.microsoft.com/fwlink/?linkid=870924
Comment:
    Not sampling</t>
      </text>
    </comment>
    <comment ref="AB2" authorId="4" shapeId="0" xr:uid="{6D9EB87D-A1BB-4F44-A286-26589335A7DE}">
      <text>
        <t>[Threaded comment]
Your version of Excel allows you to read this threaded comment; however, any edits to it will get removed if the file is opened in a newer version of Excel. Learn more: https://go.microsoft.com/fwlink/?linkid=870924
Comment:
    Not sampling</t>
      </text>
    </comment>
    <comment ref="AC2" authorId="5" shapeId="0" xr:uid="{718E43D5-466D-4FC2-938A-9CD7C96B68CD}">
      <text>
        <t>[Threaded comment]
Your version of Excel allows you to read this threaded comment; however, any edits to it will get removed if the file is opened in a newer version of Excel. Learn more: https://go.microsoft.com/fwlink/?linkid=870924
Comment:
    Not sampling</t>
      </text>
    </comment>
    <comment ref="AD2" authorId="6" shapeId="0" xr:uid="{3CDBA8D3-3294-4786-9B27-5FB3FDDC7EA5}">
      <text>
        <t>[Threaded comment]
Your version of Excel allows you to read this threaded comment; however, any edits to it will get removed if the file is opened in a newer version of Excel. Learn more: https://go.microsoft.com/fwlink/?linkid=870924
Comment:
    Not sampling</t>
      </text>
    </comment>
    <comment ref="AE2" authorId="7" shapeId="0" xr:uid="{13DB1E12-BA2A-4D9E-94C1-4474B0A0171A}">
      <text>
        <t>[Threaded comment]
Your version of Excel allows you to read this threaded comment; however, any edits to it will get removed if the file is opened in a newer version of Excel. Learn more: https://go.microsoft.com/fwlink/?linkid=870924
Comment:
    Not sampling</t>
      </text>
    </comment>
    <comment ref="AF2" authorId="8" shapeId="0" xr:uid="{55C2342D-9BFE-441E-A164-9C01EBB20D3E}">
      <text>
        <t>[Threaded comment]
Your version of Excel allows you to read this threaded comment; however, any edits to it will get removed if the file is opened in a newer version of Excel. Learn more: https://go.microsoft.com/fwlink/?linkid=870924
Comment:
    Not sampling</t>
      </text>
    </comment>
    <comment ref="AG2" authorId="9" shapeId="0" xr:uid="{F1D13175-AE43-4899-AD84-34E4962C4EFB}">
      <text>
        <t>[Threaded comment]
Your version of Excel allows you to read this threaded comment; however, any edits to it will get removed if the file is opened in a newer version of Excel. Learn more: https://go.microsoft.com/fwlink/?linkid=870924
Comment:
    Not sampling</t>
      </text>
    </comment>
    <comment ref="AH2" authorId="10" shapeId="0" xr:uid="{F65097DA-9791-47CA-8E0A-C5A1BBAA5F55}">
      <text>
        <t>[Threaded comment]
Your version of Excel allows you to read this threaded comment; however, any edits to it will get removed if the file is opened in a newer version of Excel. Learn more: https://go.microsoft.com/fwlink/?linkid=870924
Comment:
    Not sampling</t>
      </text>
    </comment>
    <comment ref="AI2" authorId="11" shapeId="0" xr:uid="{787EB53E-DBF6-4CA7-BF29-3719FAF12B36}">
      <text>
        <t>[Threaded comment]
Your version of Excel allows you to read this threaded comment; however, any edits to it will get removed if the file is opened in a newer version of Excel. Learn more: https://go.microsoft.com/fwlink/?linkid=870924
Comment:
    Not sampling</t>
      </text>
    </comment>
    <comment ref="M5" authorId="12" shapeId="0" xr:uid="{591B2F33-5C92-4915-BB53-8D3683D2E879}">
      <text>
        <t>[Threaded comment]
Your version of Excel allows you to read this threaded comment; however, any edits to it will get removed if the file is opened in a newer version of Excel. Learn more: https://go.microsoft.com/fwlink/?linkid=870924
Comment:
    Failed span</t>
      </text>
    </comment>
    <comment ref="G6" authorId="13" shapeId="0" xr:uid="{D441F96C-96B7-495A-8F65-C1BD2F81CAE3}">
      <text>
        <t>[Threaded comment]
Your version of Excel allows you to read this threaded comment; however, any edits to it will get removed if the file is opened in a newer version of Excel. Learn more: https://go.microsoft.com/fwlink/?linkid=870924
Comment:
    Failed CO2 post zero</t>
      </text>
    </comment>
    <comment ref="N7" authorId="14" shapeId="0" xr:uid="{B76D5B28-A1EC-402B-A3ED-E20F03105EB4}">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N8" authorId="15" shapeId="0" xr:uid="{3D8DA796-B520-4C2F-A0B2-D835418B23B1}">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R9" authorId="16" shapeId="0" xr:uid="{24647D87-7998-4FF7-8FCA-E21EEFAAB72E}">
      <text>
        <t>[Threaded comment]
Your version of Excel allows you to read this threaded comment; however, any edits to it will get removed if the file is opened in a newer version of Excel. Learn more: https://go.microsoft.com/fwlink/?linkid=870924
Comment:
    Not sampling</t>
      </text>
    </comment>
    <comment ref="S9" authorId="17" shapeId="0" xr:uid="{7A6D4A4B-56A3-4F23-9F40-5236F38FDB33}">
      <text>
        <t>[Threaded comment]
Your version of Excel allows you to read this threaded comment; however, any edits to it will get removed if the file is opened in a newer version of Excel. Learn more: https://go.microsoft.com/fwlink/?linkid=870924
Comment:
    Not sampling</t>
      </text>
    </comment>
    <comment ref="T9" authorId="18" shapeId="0" xr:uid="{5018EF8B-4EBB-4853-B217-302226E68504}">
      <text>
        <t>[Threaded comment]
Your version of Excel allows you to read this threaded comment; however, any edits to it will get removed if the file is opened in a newer version of Excel. Learn more: https://go.microsoft.com/fwlink/?linkid=870924
Comment:
    Not sampling</t>
      </text>
    </comment>
    <comment ref="U9" authorId="19" shapeId="0" xr:uid="{C51EE6A3-BA0E-452A-A74D-D9E9A2510421}">
      <text>
        <t>[Threaded comment]
Your version of Excel allows you to read this threaded comment; however, any edits to it will get removed if the file is opened in a newer version of Excel. Learn more: https://go.microsoft.com/fwlink/?linkid=870924
Comment:
    Not sampling</t>
      </text>
    </comment>
    <comment ref="V9" authorId="20" shapeId="0" xr:uid="{BA2142C5-559C-4909-981D-6E830F1FDA77}">
      <text>
        <t>[Threaded comment]
Your version of Excel allows you to read this threaded comment; however, any edits to it will get removed if the file is opened in a newer version of Excel. Learn more: https://go.microsoft.com/fwlink/?linkid=870924
Comment:
    Not sampling</t>
      </text>
    </comment>
    <comment ref="W9" authorId="21" shapeId="0" xr:uid="{A9016D02-CADB-4D5B-BF98-4EF9309CA421}">
      <text>
        <t>[Threaded comment]
Your version of Excel allows you to read this threaded comment; however, any edits to it will get removed if the file is opened in a newer version of Excel. Learn more: https://go.microsoft.com/fwlink/?linkid=870924
Comment:
    Not sampling</t>
      </text>
    </comment>
    <comment ref="X9" authorId="22" shapeId="0" xr:uid="{28002A98-504E-4084-9165-C7151A4D8F74}">
      <text>
        <t>[Threaded comment]
Your version of Excel allows you to read this threaded comment; however, any edits to it will get removed if the file is opened in a newer version of Excel. Learn more: https://go.microsoft.com/fwlink/?linkid=870924
Comment:
    Not sampling</t>
      </text>
    </comment>
    <comment ref="R10" authorId="23" shapeId="0" xr:uid="{1D671747-7996-4374-8A8D-3567776676A9}">
      <text>
        <t>[Threaded comment]
Your version of Excel allows you to read this threaded comment; however, any edits to it will get removed if the file is opened in a newer version of Excel. Learn more: https://go.microsoft.com/fwlink/?linkid=870924
Comment:
    Not sampling</t>
      </text>
    </comment>
    <comment ref="S10" authorId="24" shapeId="0" xr:uid="{C5B97171-36B9-44E3-B55F-5876511360A5}">
      <text>
        <t>[Threaded comment]
Your version of Excel allows you to read this threaded comment; however, any edits to it will get removed if the file is opened in a newer version of Excel. Learn more: https://go.microsoft.com/fwlink/?linkid=870924
Comment:
    Not sampling</t>
      </text>
    </comment>
    <comment ref="T10" authorId="25" shapeId="0" xr:uid="{932A1AA1-5CA0-44AC-BD39-7E4C658F38A1}">
      <text>
        <t>[Threaded comment]
Your version of Excel allows you to read this threaded comment; however, any edits to it will get removed if the file is opened in a newer version of Excel. Learn more: https://go.microsoft.com/fwlink/?linkid=870924
Comment:
    Not sampling</t>
      </text>
    </comment>
    <comment ref="U10" authorId="26" shapeId="0" xr:uid="{28B7EFBE-4373-4011-B77E-0440E1191281}">
      <text>
        <t>[Threaded comment]
Your version of Excel allows you to read this threaded comment; however, any edits to it will get removed if the file is opened in a newer version of Excel. Learn more: https://go.microsoft.com/fwlink/?linkid=870924
Comment:
    Not sampling</t>
      </text>
    </comment>
    <comment ref="V10" authorId="27" shapeId="0" xr:uid="{CB2F6838-871C-4A32-91B0-3903A87A2589}">
      <text>
        <t>[Threaded comment]
Your version of Excel allows you to read this threaded comment; however, any edits to it will get removed if the file is opened in a newer version of Excel. Learn more: https://go.microsoft.com/fwlink/?linkid=870924
Comment:
    Not sampling</t>
      </text>
    </comment>
    <comment ref="W10" authorId="28" shapeId="0" xr:uid="{2AF80B2C-00BA-4EE2-97EE-25E0D395B152}">
      <text>
        <t>[Threaded comment]
Your version of Excel allows you to read this threaded comment; however, any edits to it will get removed if the file is opened in a newer version of Excel. Learn more: https://go.microsoft.com/fwlink/?linkid=870924
Comment:
    Not sampling</t>
      </text>
    </comment>
    <comment ref="X10" authorId="29" shapeId="0" xr:uid="{E7015DFB-46A9-4135-BC12-6F70965AF46B}">
      <text>
        <t>[Threaded comment]
Your version of Excel allows you to read this threaded comment; however, any edits to it will get removed if the file is opened in a newer version of Excel. Learn more: https://go.microsoft.com/fwlink/?linkid=870924
Comment:
    Not sampling</t>
      </text>
    </comment>
    <comment ref="AF13" authorId="30" shapeId="0" xr:uid="{BF2DDB63-8322-4C60-B424-2F8328730959}">
      <text>
        <t>[Threaded comment]
Your version of Excel allows you to read this threaded comment; however, any edits to it will get removed if the file is opened in a newer version of Excel. Learn more: https://go.microsoft.com/fwlink/?linkid=870924
Comment:
    Blue laser malfunction</t>
      </text>
    </comment>
    <comment ref="AI13" authorId="31" shapeId="0" xr:uid="{F641E931-3DAA-48F7-A0AA-0A75FDD51FCC}">
      <text>
        <t>[Threaded comment]
Your version of Excel allows you to read this threaded comment; however, any edits to it will get removed if the file is opened in a newer version of Excel. Learn more: https://go.microsoft.com/fwlink/?linkid=870924
Comment:
    Blue laser malfunction</t>
      </text>
    </comment>
    <comment ref="N31" authorId="32" shapeId="0" xr:uid="{BF2CE5FF-DD5D-40F0-A5F4-1323CA11C602}">
      <text>
        <t>[Threaded comment]
Your version of Excel allows you to read this threaded comment; however, any edits to it will get removed if the file is opened in a newer version of Excel. Learn more: https://go.microsoft.com/fwlink/?linkid=870924
Comment:
    Methane analyzer not working</t>
      </text>
    </comment>
    <comment ref="Y31" authorId="33" shapeId="0" xr:uid="{EDF53CE7-BD55-455D-99DB-131DCD344843}">
      <text>
        <t>[Threaded comment]
Your version of Excel allows you to read this threaded comment; however, any edits to it will get removed if the file is opened in a newer version of Excel. Learn more: https://go.microsoft.com/fwlink/?linkid=870924
Comment:
    Not sampling</t>
      </text>
    </comment>
    <comment ref="Z31" authorId="34" shapeId="0" xr:uid="{BD703994-A823-4C8B-9B7F-4DAF6399BC7E}">
      <text>
        <t>[Threaded comment]
Your version of Excel allows you to read this threaded comment; however, any edits to it will get removed if the file is opened in a newer version of Excel. Learn more: https://go.microsoft.com/fwlink/?linkid=870924
Comment:
    Not sampling</t>
      </text>
    </comment>
    <comment ref="AA31" authorId="35" shapeId="0" xr:uid="{3C833F36-11C2-445C-9884-7CF28A400946}">
      <text>
        <t>[Threaded comment]
Your version of Excel allows you to read this threaded comment; however, any edits to it will get removed if the file is opened in a newer version of Excel. Learn more: https://go.microsoft.com/fwlink/?linkid=870924
Comment:
    Not sampling</t>
      </text>
    </comment>
    <comment ref="AB31" authorId="36" shapeId="0" xr:uid="{6D3C03B3-A122-4BAF-AEFB-53BDF1433B33}">
      <text>
        <t>[Threaded comment]
Your version of Excel allows you to read this threaded comment; however, any edits to it will get removed if the file is opened in a newer version of Excel. Learn more: https://go.microsoft.com/fwlink/?linkid=870924
Comment:
    Not sampling</t>
      </text>
    </comment>
    <comment ref="AC31" authorId="37" shapeId="0" xr:uid="{CC141DE5-7902-47BD-BD5E-953F8E2EE685}">
      <text>
        <t>[Threaded comment]
Your version of Excel allows you to read this threaded comment; however, any edits to it will get removed if the file is opened in a newer version of Excel. Learn more: https://go.microsoft.com/fwlink/?linkid=870924
Comment:
    Not sampling</t>
      </text>
    </comment>
    <comment ref="AD31" authorId="38" shapeId="0" xr:uid="{403A4675-E142-4A85-A45E-81CBB8FAD3BD}">
      <text>
        <t>[Threaded comment]
Your version of Excel allows you to read this threaded comment; however, any edits to it will get removed if the file is opened in a newer version of Excel. Learn more: https://go.microsoft.com/fwlink/?linkid=870924
Comment:
    Not sampling</t>
      </text>
    </comment>
    <comment ref="AE31" authorId="39" shapeId="0" xr:uid="{185CAA03-18D0-48CF-9A18-F4E45E443CA7}">
      <text>
        <t>[Threaded comment]
Your version of Excel allows you to read this threaded comment; however, any edits to it will get removed if the file is opened in a newer version of Excel. Learn more: https://go.microsoft.com/fwlink/?linkid=870924
Comment:
    Not sampling</t>
      </text>
    </comment>
    <comment ref="AF31" authorId="40" shapeId="0" xr:uid="{FC05A7D4-A755-4C87-9DA6-5BD42F77C12E}">
      <text>
        <t>[Threaded comment]
Your version of Excel allows you to read this threaded comment; however, any edits to it will get removed if the file is opened in a newer version of Excel. Learn more: https://go.microsoft.com/fwlink/?linkid=870924
Comment:
    Not sampling</t>
      </text>
    </comment>
    <comment ref="AG31" authorId="41" shapeId="0" xr:uid="{D56E557D-EE77-47D0-A3D6-EBDF59EE6E68}">
      <text>
        <t>[Threaded comment]
Your version of Excel allows you to read this threaded comment; however, any edits to it will get removed if the file is opened in a newer version of Excel. Learn more: https://go.microsoft.com/fwlink/?linkid=870924
Comment:
    Not sampling</t>
      </text>
    </comment>
    <comment ref="AH31" authorId="42" shapeId="0" xr:uid="{97EB7AA3-74E2-4772-970D-B797050F8FF0}">
      <text>
        <t>[Threaded comment]
Your version of Excel allows you to read this threaded comment; however, any edits to it will get removed if the file is opened in a newer version of Excel. Learn more: https://go.microsoft.com/fwlink/?linkid=870924
Comment:
    Not sampling</t>
      </text>
    </comment>
    <comment ref="AI31" authorId="43" shapeId="0" xr:uid="{341B4A11-D671-4E15-BED9-952F425C4651}">
      <text>
        <t>[Threaded comment]
Your version of Excel allows you to read this threaded comment; however, any edits to it will get removed if the file is opened in a newer version of Excel. Learn more: https://go.microsoft.com/fwlink/?linkid=870924
Comment:
    Not sampling</t>
      </text>
    </comment>
    <comment ref="N35" authorId="44" shapeId="0" xr:uid="{FFDCC421-7BA9-486A-A04E-FBE1F13FCA6C}">
      <text>
        <t>[Threaded comment]
Your version of Excel allows you to read this threaded comment; however, any edits to it will get removed if the file is opened in a newer version of Excel. Learn more: https://go.microsoft.com/fwlink/?linkid=870924
Comment:
    Methane analyzer not working so no statistics</t>
      </text>
    </comment>
    <comment ref="Y35" authorId="45" shapeId="0" xr:uid="{356F634D-DDCB-45AC-BAA2-89D1B1F07C7B}">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Z35" authorId="46" shapeId="0" xr:uid="{7DB377DB-B290-4C04-8922-E8F5C381908B}">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A35" authorId="47" shapeId="0" xr:uid="{F1F89283-BB2A-421C-A2E5-C3E4DBC16736}">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B35" authorId="48" shapeId="0" xr:uid="{5B9798FA-0DD0-4BC4-91DE-5526149DB040}">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C35" authorId="49" shapeId="0" xr:uid="{450FDC1C-05AF-47CF-B2EB-18DC9C315423}">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D35" authorId="50" shapeId="0" xr:uid="{93A8BD8F-8226-4C72-9EA4-5C31B8A824E1}">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E35" authorId="51" shapeId="0" xr:uid="{A16513E2-950D-486E-B150-5683F355A9ED}">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F35" authorId="52" shapeId="0" xr:uid="{D8033B73-0A35-45D5-980F-18576CC31CDA}">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G35" authorId="53" shapeId="0" xr:uid="{55874B63-99A4-4EFC-B92B-202590FADDCD}">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H35" authorId="54" shapeId="0" xr:uid="{3299A10F-A74A-45FA-B515-FEABF4A941D2}">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 ref="AI35" authorId="55" shapeId="0" xr:uid="{E60F121E-EA96-48AB-BD51-4EE2B2B5F800}">
      <text>
        <t>[Threaded comment]
Your version of Excel allows you to read this threaded comment; however, any edits to it will get removed if the file is opened in a newer version of Excel. Learn more: https://go.microsoft.com/fwlink/?linkid=870924
Comment:
    Not sampling, no statistics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tc={029C8DDD-FDCD-432A-8900-9D9772C38415}</author>
    <author>tc={71D4ED0C-5E46-4233-AAA3-0F2796901A28}</author>
    <author>tc={31E4890B-6C64-4843-882B-DF13A606B985}</author>
    <author>tc={FF477D7B-5421-4B5D-8ABC-B1F81C7FBCAD}</author>
    <author>tc={8C599B7F-E98E-42EF-AEE6-944098C98B51}</author>
    <author>tc={19E676B1-DB88-4670-903A-9A77F0BBFD33}</author>
    <author>tc={7A2498AC-3A75-47CF-B665-0D67C51C0BFA}</author>
    <author>tc={C7B4181F-5197-4EC1-B86A-0E587266A775}</author>
  </authors>
  <commentList>
    <comment ref="H2" authorId="0" shapeId="0" xr:uid="{029C8DDD-FDCD-432A-8900-9D9772C38415}">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 ref="I2" authorId="1" shapeId="0" xr:uid="{71D4ED0C-5E46-4233-AAA3-0F2796901A28}">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 ref="J2" authorId="2" shapeId="0" xr:uid="{31E4890B-6C64-4843-882B-DF13A606B985}">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 ref="K2" authorId="3" shapeId="0" xr:uid="{FF477D7B-5421-4B5D-8ABC-B1F81C7FBCAD}">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 ref="H25" authorId="4" shapeId="0" xr:uid="{8C599B7F-E98E-42EF-AEE6-944098C98B51}">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 ref="I25" authorId="5" shapeId="0" xr:uid="{19E676B1-DB88-4670-903A-9A77F0BBFD33}">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 ref="J25" authorId="6" shapeId="0" xr:uid="{7A2498AC-3A75-47CF-B665-0D67C51C0BFA}">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 ref="K25" authorId="7" shapeId="0" xr:uid="{C7B4181F-5197-4EC1-B86A-0E587266A775}">
      <text>
        <t>[Threaded comment]
Your version of Excel allows you to read this threaded comment; however, any edits to it will get removed if the file is opened in a newer version of Excel. Learn more: https://go.microsoft.com/fwlink/?linkid=870924
Comment:
    Background sample, no fuel burned.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tc={5777A72E-3FC2-45C3-871E-EB1A8C489620}</author>
    <author>tc={49D70E5D-D3C8-429B-9359-D695BB085E94}</author>
    <author>tc={B0172640-EE4E-4AF6-959E-CC971C42A5A7}</author>
    <author>tc={F0AAEA8E-1B05-4AB6-86B5-847DE6B6AC1A}</author>
    <author>tc={89346174-EA03-40EB-97CA-C9E215036B0B}</author>
    <author>tc={33094FF6-189E-48D1-A29B-CE9994610938}</author>
    <author>tc={B31B3114-C1F3-4BFD-9280-2FB590C3FE7C}</author>
    <author>tc={4154C3DC-CB4C-4C10-BFC2-07EDE23042D8}</author>
    <author>tc={7F5486DD-85C3-468C-A142-62608F090B7B}</author>
    <author>tc={F494E51F-8AE5-4003-A135-06F473CD87BD}</author>
    <author>tc={BF6C10DC-324E-481E-B94D-5019D5857595}</author>
    <author>tc={C25F2DD2-4511-4F22-86D4-8F220B0434F4}</author>
    <author>tc={6A0B4235-E326-4897-9195-25B54C7758F6}</author>
    <author>tc={85D7A981-12BD-48AC-879D-1DA879F1C154}</author>
    <author>tc={1722ECD8-0A52-483B-A262-A93811C970D6}</author>
    <author>tc={1BA31EC0-8C3E-47E6-9D81-9CE02A68AACB}</author>
    <author>tc={9A44AD7C-6E94-4834-9701-CE510D6642D5}</author>
    <author>tc={DB864E9C-A703-4570-9FB7-29AA3CE5FAC7}</author>
    <author>tc={5145D31D-19A6-4C3B-94D7-32CB9CB6DB67}</author>
    <author>tc={B17DDE54-AEC5-4A99-A8D3-F003C7683AE1}</author>
    <author>tc={31442C29-CD72-4746-8952-522AFF4EAFDC}</author>
    <author>tc={17E17B0D-F67E-4BD2-A553-7E041D7DD7EB}</author>
    <author>tc={FB257578-DF1C-4A08-90CE-3725B53B84B1}</author>
    <author>tc={A91DF986-2E7F-435D-BA7E-C27460CADF0B}</author>
    <author>tc={E937ED7D-33D8-4F69-B015-A4E3BBDA48F7}</author>
    <author>tc={373BA425-A5E4-4EC2-8941-82D2743431EE}</author>
    <author>tc={02ECC75A-273F-48C0-B9AA-FA89E7B2EC55}</author>
    <author>tc={B20BB51C-83B4-4A5B-AAA7-0811D0F9B2BF}</author>
    <author>tc={C51EC619-D1DD-487A-904F-B7E4C5547DC1}</author>
    <author>tc={2A890A81-E6AC-4448-92EA-6DDC28D8E913}</author>
    <author>tc={0896FA55-7002-493C-94B6-9734A3AAF03B}</author>
    <author>tc={987D1C0E-2ACD-412F-A1E3-06D28DEB1B7B}</author>
    <author>tc={628B7E72-D77B-442E-A95A-AE0CF777B9D6}</author>
    <author>tc={71341026-F634-4315-B301-D0FB12067485}</author>
    <author>tc={CA0F7F2A-5007-40A3-87C4-54939BF538C2}</author>
    <author>tc={2F6878A1-A6A1-47C4-BCFE-762D60EEBA56}</author>
    <author>tc={B60F1DA4-51B6-4D6D-B5B4-A4E5563B519F}</author>
    <author>tc={C5861FB9-F395-4E23-AC6F-9193DCAE3AE7}</author>
    <author>tc={1E177489-FA5A-43F8-9306-40C96A342B3C}</author>
    <author>tc={E8C92854-A4F0-4B97-BCD5-E3777E50B2D9}</author>
    <author>tc={850F323B-13F9-415E-B118-DBFA982A4431}</author>
    <author>tc={58404E16-C641-410E-B397-7325AAED3D53}</author>
    <author>tc={BBD06AB0-E2A0-48FA-AFE4-6E979C8EFB2B}</author>
    <author>tc={FE8A6BF0-E308-4FDB-BF1E-EDF9AB900113}</author>
    <author>tc={AF06BA3F-72A6-41FD-BD7A-894B28847585}</author>
    <author>tc={2BF2506E-A36E-4E31-A0A3-CFF0A754F51D}</author>
    <author>tc={0E60C212-135B-41A7-AB2D-ED88AC05B150}</author>
    <author>tc={AAEB3B30-8A2B-4BCF-8010-9E5C8CF36B34}</author>
    <author>tc={FF24E551-4A04-4EAB-8A02-929A5E511776}</author>
    <author>tc={F7A38A3B-887F-49AF-913D-60E9F80A5366}</author>
    <author>tc={24FEA743-25F1-4D18-AEBF-1BD04717B9A9}</author>
    <author>tc={F80BE565-DD53-4547-81FD-DDC839C30BD3}</author>
    <author>tc={8A56EE80-93D8-405A-81C5-B4457C40767B}</author>
    <author>tc={D999FD30-DBE2-4764-B43B-1BB82D2A93C7}</author>
    <author>tc={83EDAA0D-99FD-4403-A0FF-9924F3684ADC}</author>
    <author>tc={482B0707-1E38-4DFD-88D6-81AFEE37F00B}</author>
    <author>tc={C56A733B-E634-4B8F-92AC-00F5899933E4}</author>
    <author>tc={C9A5F0F5-E622-4D9A-9A4F-7076FF472B1E}</author>
    <author>tc={4A7E8865-AB4E-468A-91CE-3BA7A64F5888}</author>
    <author>tc={5BEC3C3F-7471-480A-9B2D-8608BC35A8C0}</author>
    <author>tc={60A946F0-EDCC-4BF2-8227-2F7A51935E4A}</author>
    <author>tc={16AFA788-06B6-4C75-B497-D594D6FCE277}</author>
    <author>tc={30DE0E0E-EDB5-4A4F-AF7A-826664BEEDCB}</author>
    <author>tc={26A3033E-4BDF-4BFD-B2EC-C9C728CAF548}</author>
    <author>tc={1154B908-8844-4E5C-B096-9328E40BCBC5}</author>
    <author>tc={71249650-8DCC-44AB-BD33-66027F386FA4}</author>
    <author>tc={0243E2F0-60FA-420A-97EB-AB3F6462174F}</author>
    <author>tc={CB3C4FF7-79B1-4889-92D8-2CAEB614D601}</author>
    <author>tc={52950854-2296-4E17-837E-251F7BF77E9A}</author>
    <author>tc={B8C06895-2287-4F8E-A03E-ABEA103ED841}</author>
    <author>tc={381293FD-DFDD-4D92-8232-B3C0971E70A3}</author>
    <author>tc={CFB8EB20-A411-45AC-8D80-72A5D33A93DB}</author>
    <author>tc={6D12DB02-673C-4C94-A262-D1CD66C75BAB}</author>
    <author>tc={CCC0C9A3-F935-44AA-B9DE-5A359C44043E}</author>
    <author>tc={FAA92F70-F1A6-4C2F-AF04-C6C2400D1B1D}</author>
    <author>tc={A2B60A78-0E85-49AF-95B4-954903CD2236}</author>
    <author>tc={476D5596-102E-4B50-BC1F-710FDD6F5E6A}</author>
    <author>tc={02B14049-72FB-499B-91B9-1ABDCC44C705}</author>
    <author>tc={A3F09A68-B13F-43B9-8B03-A67197BF103F}</author>
    <author>tc={D3F9D01D-5C72-4148-9FB4-4FD04C6E0EF3}</author>
    <author>tc={55229CA7-FD62-4C0C-A92F-354C0BBA60D0}</author>
    <author>tc={AEBA0AF0-8315-43B1-8D4C-B7EB25B184A7}</author>
    <author>tc={30D29CF6-A9F2-48A4-A308-996825863A60}</author>
    <author>tc={6C66B78B-E1D3-48CE-B80A-EA521FC4E9EA}</author>
    <author>tc={9D51A0F4-53C7-48E4-9072-670FE29485BC}</author>
    <author>tc={210C7AD9-DBD3-40DF-89AF-E7C4FEDD3F63}</author>
    <author>tc={17F9B86D-7C78-4F86-A168-D7771B646D5C}</author>
    <author>tc={8E05BBAD-D5C1-42D0-B8A5-A41084012619}</author>
    <author>tc={AFD928C8-7AB0-4295-855D-6AB13FCDD2F2}</author>
    <author>tc={1C78E5F5-0A85-4219-B2E8-F87366F70D98}</author>
    <author>tc={6EFB9501-CD34-4385-9FAA-AAE236BBB4D0}</author>
    <author>tc={80B55131-0FF9-4C93-AEAB-002D409B2EC2}</author>
    <author>tc={2C671137-013E-4BC0-9411-678F4061D3A2}</author>
    <author>tc={C6AE8482-A355-4165-A187-CEDA7D6D4971}</author>
    <author>tc={D7F0A459-030D-4AFE-AF0A-FC63A80AD483}</author>
    <author>tc={EB9E4FCD-56BD-43C2-999D-F71174EE9697}</author>
    <author>tc={EB170C89-6517-4901-BE4F-0201F0BB67F7}</author>
    <author>tc={06AEC92E-DAEA-4C61-850A-AF18F512EBD1}</author>
    <author>tc={72C2C3F6-6D5F-40CF-AEF2-B3C03C5B7CD0}</author>
    <author>tc={57136645-85B4-448F-B3C1-B84CDB80AA15}</author>
    <author>tc={9D5CC7FF-5ACB-4058-9F9D-16E09BE270FD}</author>
    <author>tc={9549DB3C-0303-48A2-921E-5C66893491E8}</author>
    <author>tc={6594A375-FB99-4EFA-8B38-9555C8E6220F}</author>
    <author>tc={3769FFBD-F933-424B-9323-A57BC359A03D}</author>
    <author>tc={0CD11ACB-99FB-42D2-BE2B-C6764390E48C}</author>
    <author>tc={60409FD5-ADC4-4C89-BBBF-F2690E72F82D}</author>
    <author>tc={9D61D89B-847F-4874-A95B-45A4F193ADE4}</author>
    <author>tc={60337DFE-89AD-4E19-858A-F8050CCDE890}</author>
    <author>tc={A8656CCA-A4B1-426F-BEAC-FA790A8CCB35}</author>
    <author>tc={CE000F6C-2489-46E4-B9E1-BD5A18C64A4F}</author>
    <author>tc={5BAD32AC-14D7-41C2-AF6E-8EBE8029C081}</author>
    <author>tc={10AEA3B2-9413-4E4C-BAC1-E1AB95DED97E}</author>
    <author>tc={6B865735-007D-4504-A942-D221D102B942}</author>
    <author>tc={DB66F328-D780-4CE7-8212-1D3A58AAD43C}</author>
    <author>tc={248827C7-7056-41BF-88EA-FD6D154E473F}</author>
    <author>tc={6BB140B8-7EB2-47BB-8441-AC66A74289D8}</author>
    <author>tc={0D6125DA-A68E-4357-849E-D0B7DB6A1A05}</author>
    <author>tc={1FF5C385-582C-4532-8A01-4ABCF7EEEF1A}</author>
    <author>tc={4163AF59-1CCF-4FAD-84F5-37B723C7EC60}</author>
    <author>tc={D925D34F-50DF-438B-9B05-89AA8F79AE54}</author>
    <author>tc={DBE17CD7-60F2-4367-86F7-C05ED477A25A}</author>
    <author>tc={C39596AD-BED6-4AD9-838E-A7949DCC84BD}</author>
    <author>tc={9FF27CDE-90E7-416B-8E4E-5139C8D8D349}</author>
    <author>tc={D8629C9C-8D54-459C-8BD4-BEDE40505A8F}</author>
    <author>tc={93EB644E-93F5-445A-900A-ED6470C53792}</author>
    <author>tc={7F721CA7-DA04-4644-B0BE-0E5FBA551ACF}</author>
    <author>tc={69378A3C-6673-4BE9-AD60-B37B0DBDFAE0}</author>
    <author>tc={E2028A45-A689-4A67-BB57-678B52B7A388}</author>
    <author>tc={A3454907-F47C-4C7D-A482-1E5DE4571D8C}</author>
  </authors>
  <commentList>
    <comment ref="M2" authorId="0" shapeId="0" xr:uid="{5777A72E-3FC2-45C3-871E-EB1A8C489620}">
      <text>
        <t>[Threaded comment]
Your version of Excel allows you to read this threaded comment; however, any edits to it will get removed if the file is opened in a newer version of Excel. Learn more: https://go.microsoft.com/fwlink/?linkid=870924
Comment:
    Methane analyzer not working</t>
      </text>
    </comment>
    <comment ref="AE2" authorId="1" shapeId="0" xr:uid="{49D70E5D-D3C8-429B-9359-D695BB085E94}">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F2" authorId="2" shapeId="0" xr:uid="{B0172640-EE4E-4AF6-959E-CC971C42A5A7}">
      <text>
        <t>[Threaded comment]
Your version of Excel allows you to read this threaded comment; however, any edits to it will get removed if the file is opened in a newer version of Excel. Learn more: https://go.microsoft.com/fwlink/?linkid=870924
Comment:
    Not sampling</t>
      </text>
    </comment>
    <comment ref="AG2" authorId="3" shapeId="0" xr:uid="{F0AAEA8E-1B05-4AB6-86B5-847DE6B6AC1A}">
      <text>
        <t>[Threaded comment]
Your version of Excel allows you to read this threaded comment; however, any edits to it will get removed if the file is opened in a newer version of Excel. Learn more: https://go.microsoft.com/fwlink/?linkid=870924
Comment:
    Not sampling</t>
      </text>
    </comment>
    <comment ref="AH2" authorId="4" shapeId="0" xr:uid="{89346174-EA03-40EB-97CA-C9E215036B0B}">
      <text>
        <t>[Threaded comment]
Your version of Excel allows you to read this threaded comment; however, any edits to it will get removed if the file is opened in a newer version of Excel. Learn more: https://go.microsoft.com/fwlink/?linkid=870924
Comment:
    Not sampling</t>
      </text>
    </comment>
    <comment ref="AI2" authorId="5" shapeId="0" xr:uid="{33094FF6-189E-48D1-A29B-CE9994610938}">
      <text>
        <t>[Threaded comment]
Your version of Excel allows you to read this threaded comment; however, any edits to it will get removed if the file is opened in a newer version of Excel. Learn more: https://go.microsoft.com/fwlink/?linkid=870924
Comment:
    Not sampling</t>
      </text>
    </comment>
    <comment ref="AJ2" authorId="6" shapeId="0" xr:uid="{B31B3114-C1F3-4BFD-9280-2FB590C3FE7C}">
      <text>
        <t>[Threaded comment]
Your version of Excel allows you to read this threaded comment; however, any edits to it will get removed if the file is opened in a newer version of Excel. Learn more: https://go.microsoft.com/fwlink/?linkid=870924
Comment:
    Not sampling</t>
      </text>
    </comment>
    <comment ref="AK2" authorId="7" shapeId="0" xr:uid="{4154C3DC-CB4C-4C10-BFC2-07EDE23042D8}">
      <text>
        <t>[Threaded comment]
Your version of Excel allows you to read this threaded comment; however, any edits to it will get removed if the file is opened in a newer version of Excel. Learn more: https://go.microsoft.com/fwlink/?linkid=870924
Comment:
    Not sampling</t>
      </text>
    </comment>
    <comment ref="AL2" authorId="8" shapeId="0" xr:uid="{7F5486DD-85C3-468C-A142-62608F090B7B}">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M2" authorId="9" shapeId="0" xr:uid="{F494E51F-8AE5-4003-A135-06F473CD87BD}">
      <text>
        <t>[Threaded comment]
Your version of Excel allows you to read this threaded comment; however, any edits to it will get removed if the file is opened in a newer version of Excel. Learn more: https://go.microsoft.com/fwlink/?linkid=870924
Comment:
    Not sampling</t>
      </text>
    </comment>
    <comment ref="AN2" authorId="10" shapeId="0" xr:uid="{BF6C10DC-324E-481E-B94D-5019D5857595}">
      <text>
        <t>[Threaded comment]
Your version of Excel allows you to read this threaded comment; however, any edits to it will get removed if the file is opened in a newer version of Excel. Learn more: https://go.microsoft.com/fwlink/?linkid=870924
Comment:
    Not sampling</t>
      </text>
    </comment>
    <comment ref="AO2" authorId="11" shapeId="0" xr:uid="{C25F2DD2-4511-4F22-86D4-8F220B0434F4}">
      <text>
        <t>[Threaded comment]
Your version of Excel allows you to read this threaded comment; however, any edits to it will get removed if the file is opened in a newer version of Excel. Learn more: https://go.microsoft.com/fwlink/?linkid=870924
Comment:
    Not sampling</t>
      </text>
    </comment>
    <comment ref="AP2" authorId="12" shapeId="0" xr:uid="{6A0B4235-E326-4897-9195-25B54C7758F6}">
      <text>
        <t>[Threaded comment]
Your version of Excel allows you to read this threaded comment; however, any edits to it will get removed if the file is opened in a newer version of Excel. Learn more: https://go.microsoft.com/fwlink/?linkid=870924
Comment:
    Not sampling</t>
      </text>
    </comment>
    <comment ref="AQ2" authorId="13" shapeId="0" xr:uid="{85D7A981-12BD-48AC-879D-1DA879F1C154}">
      <text>
        <t>[Threaded comment]
Your version of Excel allows you to read this threaded comment; however, any edits to it will get removed if the file is opened in a newer version of Excel. Learn more: https://go.microsoft.com/fwlink/?linkid=870924
Comment:
    Not sampling</t>
      </text>
    </comment>
    <comment ref="AR2" authorId="14" shapeId="0" xr:uid="{1722ECD8-0A52-483B-A262-A93811C970D6}">
      <text>
        <t>[Threaded comment]
Your version of Excel allows you to read this threaded comment; however, any edits to it will get removed if the file is opened in a newer version of Excel. Learn more: https://go.microsoft.com/fwlink/?linkid=870924
Comment:
    Not sampling</t>
      </text>
    </comment>
    <comment ref="AS2" authorId="15" shapeId="0" xr:uid="{1BA31EC0-8C3E-47E6-9D81-9CE02A68AACB}">
      <text>
        <t>[Threaded comment]
Your version of Excel allows you to read this threaded comment; however, any edits to it will get removed if the file is opened in a newer version of Excel. Learn more: https://go.microsoft.com/fwlink/?linkid=870924
Comment:
    Not sampling</t>
      </text>
    </comment>
    <comment ref="AT2" authorId="16" shapeId="0" xr:uid="{9A44AD7C-6E94-4834-9701-CE510D6642D5}">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U2" authorId="17" shapeId="0" xr:uid="{DB864E9C-A703-4570-9FB7-29AA3CE5FAC7}">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V2" authorId="18" shapeId="0" xr:uid="{5145D31D-19A6-4C3B-94D7-32CB9CB6DB67}">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W2" authorId="19" shapeId="0" xr:uid="{B17DDE54-AEC5-4A99-A8D3-F003C7683AE1}">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X2" authorId="20" shapeId="0" xr:uid="{31442C29-CD72-4746-8952-522AFF4EAFDC}">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Y2" authorId="21" shapeId="0" xr:uid="{17E17B0D-F67E-4BD2-A553-7E041D7DD7EB}">
      <text>
        <t>[Threaded comment]
Your version of Excel allows you to read this threaded comment; however, any edits to it will get removed if the file is opened in a newer version of Excel. Learn more: https://go.microsoft.com/fwlink/?linkid=870924
Comment:
    Not sampling</t>
      </text>
    </comment>
    <comment ref="AZ2" authorId="22" shapeId="0" xr:uid="{FB257578-DF1C-4A08-90CE-3725B53B84B1}">
      <text>
        <t>[Threaded comment]
Your version of Excel allows you to read this threaded comment; however, any edits to it will get removed if the file is opened in a newer version of Excel. Learn more: https://go.microsoft.com/fwlink/?linkid=870924
Comment:
    Not sampling</t>
      </text>
    </comment>
    <comment ref="BA2" authorId="23" shapeId="0" xr:uid="{A91DF986-2E7F-435D-BA7E-C27460CADF0B}">
      <text>
        <t>[Threaded comment]
Your version of Excel allows you to read this threaded comment; however, any edits to it will get removed if the file is opened in a newer version of Excel. Learn more: https://go.microsoft.com/fwlink/?linkid=870924
Comment:
    Not sampling</t>
      </text>
    </comment>
    <comment ref="BB2" authorId="24" shapeId="0" xr:uid="{E937ED7D-33D8-4F69-B015-A4E3BBDA48F7}">
      <text>
        <t>[Threaded comment]
Your version of Excel allows you to read this threaded comment; however, any edits to it will get removed if the file is opened in a newer version of Excel. Learn more: https://go.microsoft.com/fwlink/?linkid=870924
Comment:
    Not sampling</t>
      </text>
    </comment>
    <comment ref="BC2" authorId="25" shapeId="0" xr:uid="{373BA425-A5E4-4EC2-8941-82D2743431EE}">
      <text>
        <t>[Threaded comment]
Your version of Excel allows you to read this threaded comment; however, any edits to it will get removed if the file is opened in a newer version of Excel. Learn more: https://go.microsoft.com/fwlink/?linkid=870924
Comment:
    Not sampling</t>
      </text>
    </comment>
    <comment ref="BD2" authorId="26" shapeId="0" xr:uid="{02ECC75A-273F-48C0-B9AA-FA89E7B2EC55}">
      <text>
        <t>[Threaded comment]
Your version of Excel allows you to read this threaded comment; however, any edits to it will get removed if the file is opened in a newer version of Excel. Learn more: https://go.microsoft.com/fwlink/?linkid=870924
Comment:
    Not sampling</t>
      </text>
    </comment>
    <comment ref="BE2" authorId="27" shapeId="0" xr:uid="{B20BB51C-83B4-4A5B-AAA7-0811D0F9B2BF}">
      <text>
        <t>[Threaded comment]
Your version of Excel allows you to read this threaded comment; however, any edits to it will get removed if the file is opened in a newer version of Excel. Learn more: https://go.microsoft.com/fwlink/?linkid=870924
Comment:
    Not sampling</t>
      </text>
    </comment>
    <comment ref="BF2" authorId="28" shapeId="0" xr:uid="{C51EC619-D1DD-487A-904F-B7E4C5547DC1}">
      <text>
        <t>[Threaded comment]
Your version of Excel allows you to read this threaded comment; however, any edits to it will get removed if the file is opened in a newer version of Excel. Learn more: https://go.microsoft.com/fwlink/?linkid=870924
Comment:
    Not sampling</t>
      </text>
    </comment>
    <comment ref="BG2" authorId="29" shapeId="0" xr:uid="{2A890A81-E6AC-4448-92EA-6DDC28D8E913}">
      <text>
        <t>[Threaded comment]
Your version of Excel allows you to read this threaded comment; however, any edits to it will get removed if the file is opened in a newer version of Excel. Learn more: https://go.microsoft.com/fwlink/?linkid=870924
Comment:
    Not sampling</t>
      </text>
    </comment>
    <comment ref="BH2" authorId="30" shapeId="0" xr:uid="{0896FA55-7002-493C-94B6-9734A3AAF03B}">
      <text>
        <t>[Threaded comment]
Your version of Excel allows you to read this threaded comment; however, any edits to it will get removed if the file is opened in a newer version of Excel. Learn more: https://go.microsoft.com/fwlink/?linkid=870924
Comment:
    Not sampling</t>
      </text>
    </comment>
    <comment ref="BI2" authorId="31" shapeId="0" xr:uid="{987D1C0E-2ACD-412F-A1E3-06D28DEB1B7B}">
      <text>
        <t>[Threaded comment]
Your version of Excel allows you to read this threaded comment; however, any edits to it will get removed if the file is opened in a newer version of Excel. Learn more: https://go.microsoft.com/fwlink/?linkid=870924
Comment:
    Not sampling</t>
      </text>
    </comment>
    <comment ref="BJ2" authorId="32" shapeId="0" xr:uid="{628B7E72-D77B-442E-A95A-AE0CF777B9D6}">
      <text>
        <t>[Threaded comment]
Your version of Excel allows you to read this threaded comment; however, any edits to it will get removed if the file is opened in a newer version of Excel. Learn more: https://go.microsoft.com/fwlink/?linkid=870924
Comment:
    Not sampling</t>
      </text>
    </comment>
    <comment ref="BK2" authorId="33" shapeId="0" xr:uid="{71341026-F634-4315-B301-D0FB12067485}">
      <text>
        <t>[Threaded comment]
Your version of Excel allows you to read this threaded comment; however, any edits to it will get removed if the file is opened in a newer version of Excel. Learn more: https://go.microsoft.com/fwlink/?linkid=870924
Comment:
    Not sampling</t>
      </text>
    </comment>
    <comment ref="BL2" authorId="34" shapeId="0" xr:uid="{CA0F7F2A-5007-40A3-87C4-54939BF538C2}">
      <text>
        <t>[Threaded comment]
Your version of Excel allows you to read this threaded comment; however, any edits to it will get removed if the file is opened in a newer version of Excel. Learn more: https://go.microsoft.com/fwlink/?linkid=870924
Comment:
    Not sampling</t>
      </text>
    </comment>
    <comment ref="BM2" authorId="35" shapeId="0" xr:uid="{2F6878A1-A6A1-47C4-BCFE-762D60EEBA56}">
      <text>
        <t>[Threaded comment]
Your version of Excel allows you to read this threaded comment; however, any edits to it will get removed if the file is opened in a newer version of Excel. Learn more: https://go.microsoft.com/fwlink/?linkid=870924
Comment:
    Not sampling</t>
      </text>
    </comment>
    <comment ref="BN2" authorId="36" shapeId="0" xr:uid="{B60F1DA4-51B6-4D6D-B5B4-A4E5563B519F}">
      <text>
        <t>[Threaded comment]
Your version of Excel allows you to read this threaded comment; however, any edits to it will get removed if the file is opened in a newer version of Excel. Learn more: https://go.microsoft.com/fwlink/?linkid=870924
Comment:
    Not sampling</t>
      </text>
    </comment>
    <comment ref="BO2" authorId="37" shapeId="0" xr:uid="{C5861FB9-F395-4E23-AC6F-9193DCAE3AE7}">
      <text>
        <t>[Threaded comment]
Your version of Excel allows you to read this threaded comment; however, any edits to it will get removed if the file is opened in a newer version of Excel. Learn more: https://go.microsoft.com/fwlink/?linkid=870924
Comment:
    Not sampling</t>
      </text>
    </comment>
    <comment ref="BP2" authorId="38" shapeId="0" xr:uid="{1E177489-FA5A-43F8-9306-40C96A342B3C}">
      <text>
        <t>[Threaded comment]
Your version of Excel allows you to read this threaded comment; however, any edits to it will get removed if the file is opened in a newer version of Excel. Learn more: https://go.microsoft.com/fwlink/?linkid=870924
Comment:
    Not sampling</t>
      </text>
    </comment>
    <comment ref="BQ2" authorId="39" shapeId="0" xr:uid="{E8C92854-A4F0-4B97-BCD5-E3777E50B2D9}">
      <text>
        <t>[Threaded comment]
Your version of Excel allows you to read this threaded comment; however, any edits to it will get removed if the file is opened in a newer version of Excel. Learn more: https://go.microsoft.com/fwlink/?linkid=870924
Comment:
    Not sampling</t>
      </text>
    </comment>
    <comment ref="BR2" authorId="40" shapeId="0" xr:uid="{850F323B-13F9-415E-B118-DBFA982A4431}">
      <text>
        <t>[Threaded comment]
Your version of Excel allows you to read this threaded comment; however, any edits to it will get removed if the file is opened in a newer version of Excel. Learn more: https://go.microsoft.com/fwlink/?linkid=870924
Comment:
    Not sampling</t>
      </text>
    </comment>
    <comment ref="BS2" authorId="41" shapeId="0" xr:uid="{58404E16-C641-410E-B397-7325AAED3D53}">
      <text>
        <t>[Threaded comment]
Your version of Excel allows you to read this threaded comment; however, any edits to it will get removed if the file is opened in a newer version of Excel. Learn more: https://go.microsoft.com/fwlink/?linkid=870924
Comment:
    Not sampling</t>
      </text>
    </comment>
    <comment ref="BT2" authorId="42" shapeId="0" xr:uid="{BBD06AB0-E2A0-48FA-AFE4-6E979C8EFB2B}">
      <text>
        <t>[Threaded comment]
Your version of Excel allows you to read this threaded comment; however, any edits to it will get removed if the file is opened in a newer version of Excel. Learn more: https://go.microsoft.com/fwlink/?linkid=870924
Comment:
    Not sampling</t>
      </text>
    </comment>
    <comment ref="BU2" authorId="43" shapeId="0" xr:uid="{FE8A6BF0-E308-4FDB-BF1E-EDF9AB900113}">
      <text>
        <t>[Threaded comment]
Your version of Excel allows you to read this threaded comment; however, any edits to it will get removed if the file is opened in a newer version of Excel. Learn more: https://go.microsoft.com/fwlink/?linkid=870924
Comment:
    Not sampling</t>
      </text>
    </comment>
    <comment ref="BV2" authorId="44" shapeId="0" xr:uid="{AF06BA3F-72A6-41FD-BD7A-894B28847585}">
      <text>
        <t>[Threaded comment]
Your version of Excel allows you to read this threaded comment; however, any edits to it will get removed if the file is opened in a newer version of Excel. Learn more: https://go.microsoft.com/fwlink/?linkid=870924
Comment:
    Not sampling</t>
      </text>
    </comment>
    <comment ref="BW2" authorId="45" shapeId="0" xr:uid="{2BF2506E-A36E-4E31-A0A3-CFF0A754F51D}">
      <text>
        <t>[Threaded comment]
Your version of Excel allows you to read this threaded comment; however, any edits to it will get removed if the file is opened in a newer version of Excel. Learn more: https://go.microsoft.com/fwlink/?linkid=870924
Comment:
    Not sampling</t>
      </text>
    </comment>
    <comment ref="BX2" authorId="46" shapeId="0" xr:uid="{0E60C212-135B-41A7-AB2D-ED88AC05B150}">
      <text>
        <t>[Threaded comment]
Your version of Excel allows you to read this threaded comment; however, any edits to it will get removed if the file is opened in a newer version of Excel. Learn more: https://go.microsoft.com/fwlink/?linkid=870924
Comment:
    Not sampling</t>
      </text>
    </comment>
    <comment ref="BY2" authorId="47" shapeId="0" xr:uid="{AAEB3B30-8A2B-4BCF-8010-9E5C8CF36B34}">
      <text>
        <t>[Threaded comment]
Your version of Excel allows you to read this threaded comment; however, any edits to it will get removed if the file is opened in a newer version of Excel. Learn more: https://go.microsoft.com/fwlink/?linkid=870924
Comment:
    Not sampling</t>
      </text>
    </comment>
    <comment ref="BZ2" authorId="48" shapeId="0" xr:uid="{FF24E551-4A04-4EAB-8A02-929A5E511776}">
      <text>
        <t>[Threaded comment]
Your version of Excel allows you to read this threaded comment; however, any edits to it will get removed if the file is opened in a newer version of Excel. Learn more: https://go.microsoft.com/fwlink/?linkid=870924
Comment:
    Not sampling</t>
      </text>
    </comment>
    <comment ref="CA2" authorId="49" shapeId="0" xr:uid="{F7A38A3B-887F-49AF-913D-60E9F80A5366}">
      <text>
        <t>[Threaded comment]
Your version of Excel allows you to read this threaded comment; however, any edits to it will get removed if the file is opened in a newer version of Excel. Learn more: https://go.microsoft.com/fwlink/?linkid=870924
Comment:
    Not sampling</t>
      </text>
    </comment>
    <comment ref="CB2" authorId="50" shapeId="0" xr:uid="{24FEA743-25F1-4D18-AEBF-1BD04717B9A9}">
      <text>
        <t>[Threaded comment]
Your version of Excel allows you to read this threaded comment; however, any edits to it will get removed if the file is opened in a newer version of Excel. Learn more: https://go.microsoft.com/fwlink/?linkid=870924
Comment:
    Not sampling</t>
      </text>
    </comment>
    <comment ref="CC2" authorId="51" shapeId="0" xr:uid="{F80BE565-DD53-4547-81FD-DDC839C30BD3}">
      <text>
        <t>[Threaded comment]
Your version of Excel allows you to read this threaded comment; however, any edits to it will get removed if the file is opened in a newer version of Excel. Learn more: https://go.microsoft.com/fwlink/?linkid=870924
Comment:
    Not sampling</t>
      </text>
    </comment>
    <comment ref="CD2" authorId="52" shapeId="0" xr:uid="{8A56EE80-93D8-405A-81C5-B4457C40767B}">
      <text>
        <t>[Threaded comment]
Your version of Excel allows you to read this threaded comment; however, any edits to it will get removed if the file is opened in a newer version of Excel. Learn more: https://go.microsoft.com/fwlink/?linkid=870924
Comment:
    Not sampling</t>
      </text>
    </comment>
    <comment ref="CE2" authorId="53" shapeId="0" xr:uid="{D999FD30-DBE2-4764-B43B-1BB82D2A93C7}">
      <text>
        <t>[Threaded comment]
Your version of Excel allows you to read this threaded comment; however, any edits to it will get removed if the file is opened in a newer version of Excel. Learn more: https://go.microsoft.com/fwlink/?linkid=870924
Comment:
    Not sampling</t>
      </text>
    </comment>
    <comment ref="CF2" authorId="54" shapeId="0" xr:uid="{83EDAA0D-99FD-4403-A0FF-9924F3684ADC}">
      <text>
        <t>[Threaded comment]
Your version of Excel allows you to read this threaded comment; however, any edits to it will get removed if the file is opened in a newer version of Excel. Learn more: https://go.microsoft.com/fwlink/?linkid=870924
Comment:
    Not sampling</t>
      </text>
    </comment>
    <comment ref="CG2" authorId="55" shapeId="0" xr:uid="{482B0707-1E38-4DFD-88D6-81AFEE37F00B}">
      <text>
        <t>[Threaded comment]
Your version of Excel allows you to read this threaded comment; however, any edits to it will get removed if the file is opened in a newer version of Excel. Learn more: https://go.microsoft.com/fwlink/?linkid=870924
Comment:
    Not sampling</t>
      </text>
    </comment>
    <comment ref="CH2" authorId="56" shapeId="0" xr:uid="{C56A733B-E634-4B8F-92AC-00F5899933E4}">
      <text>
        <t>[Threaded comment]
Your version of Excel allows you to read this threaded comment; however, any edits to it will get removed if the file is opened in a newer version of Excel. Learn more: https://go.microsoft.com/fwlink/?linkid=870924
Comment:
    Not sampling</t>
      </text>
    </comment>
    <comment ref="G5" authorId="57" shapeId="0" xr:uid="{C9A5F0F5-E622-4D9A-9A4F-7076FF472B1E}">
      <text>
        <t>[Threaded comment]
Your version of Excel allows you to read this threaded comment; however, any edits to it will get removed if the file is opened in a newer version of Excel. Learn more: https://go.microsoft.com/fwlink/?linkid=870924
Comment:
    Failed post span</t>
      </text>
    </comment>
    <comment ref="L5" authorId="58" shapeId="0" xr:uid="{4A7E8865-AB4E-468A-91CE-3BA7A64F5888}">
      <text>
        <t>[Threaded comment]
Your version of Excel allows you to read this threaded comment; however, any edits to it will get removed if the file is opened in a newer version of Excel. Learn more: https://go.microsoft.com/fwlink/?linkid=870924
Comment:
    Failed post span</t>
      </text>
    </comment>
    <comment ref="M7" authorId="59" shapeId="0" xr:uid="{5BEC3C3F-7471-480A-9B2D-8608BC35A8C0}">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M8" authorId="60" shapeId="0" xr:uid="{60A946F0-EDCC-4BF2-8227-2F7A51935E4A}">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W9" authorId="61" shapeId="0" xr:uid="{16AFA788-06B6-4C75-B497-D594D6FCE277}">
      <text>
        <t>[Threaded comment]
Your version of Excel allows you to read this threaded comment; however, any edits to it will get removed if the file is opened in a newer version of Excel. Learn more: https://go.microsoft.com/fwlink/?linkid=870924
Comment:
    Not sampling</t>
      </text>
    </comment>
    <comment ref="X9" authorId="62" shapeId="0" xr:uid="{30DE0E0E-EDB5-4A4F-AF7A-826664BEEDCB}">
      <text>
        <t>[Threaded comment]
Your version of Excel allows you to read this threaded comment; however, any edits to it will get removed if the file is opened in a newer version of Excel. Learn more: https://go.microsoft.com/fwlink/?linkid=870924
Comment:
    Not sampling</t>
      </text>
    </comment>
    <comment ref="Y9" authorId="63" shapeId="0" xr:uid="{26A3033E-4BDF-4BFD-B2EC-C9C728CAF548}">
      <text>
        <t>[Threaded comment]
Your version of Excel allows you to read this threaded comment; however, any edits to it will get removed if the file is opened in a newer version of Excel. Learn more: https://go.microsoft.com/fwlink/?linkid=870924
Comment:
    Not sampling</t>
      </text>
    </comment>
    <comment ref="Z9" authorId="64" shapeId="0" xr:uid="{1154B908-8844-4E5C-B096-9328E40BCBC5}">
      <text>
        <t>[Threaded comment]
Your version of Excel allows you to read this threaded comment; however, any edits to it will get removed if the file is opened in a newer version of Excel. Learn more: https://go.microsoft.com/fwlink/?linkid=870924
Comment:
    Not sampling</t>
      </text>
    </comment>
    <comment ref="AA9" authorId="65" shapeId="0" xr:uid="{71249650-8DCC-44AB-BD33-66027F386FA4}">
      <text>
        <t>[Threaded comment]
Your version of Excel allows you to read this threaded comment; however, any edits to it will get removed if the file is opened in a newer version of Excel. Learn more: https://go.microsoft.com/fwlink/?linkid=870924
Comment:
    Not sampling</t>
      </text>
    </comment>
    <comment ref="AB9" authorId="66" shapeId="0" xr:uid="{0243E2F0-60FA-420A-97EB-AB3F6462174F}">
      <text>
        <t>[Threaded comment]
Your version of Excel allows you to read this threaded comment; however, any edits to it will get removed if the file is opened in a newer version of Excel. Learn more: https://go.microsoft.com/fwlink/?linkid=870924
Comment:
    Not sampling</t>
      </text>
    </comment>
    <comment ref="AC9" authorId="67" shapeId="0" xr:uid="{CB3C4FF7-79B1-4889-92D8-2CAEB614D601}">
      <text>
        <t>[Threaded comment]
Your version of Excel allows you to read this threaded comment; however, any edits to it will get removed if the file is opened in a newer version of Excel. Learn more: https://go.microsoft.com/fwlink/?linkid=870924
Comment:
    Not sampling</t>
      </text>
    </comment>
    <comment ref="AD9" authorId="68" shapeId="0" xr:uid="{52950854-2296-4E17-837E-251F7BF77E9A}">
      <text>
        <t>[Threaded comment]
Your version of Excel allows you to read this threaded comment; however, any edits to it will get removed if the file is opened in a newer version of Excel. Learn more: https://go.microsoft.com/fwlink/?linkid=870924
Comment:
    Not sampling</t>
      </text>
    </comment>
    <comment ref="AE9" authorId="69" shapeId="0" xr:uid="{B8C06895-2287-4F8E-A03E-ABEA103ED841}">
      <text>
        <t>[Threaded comment]
Your version of Excel allows you to read this threaded comment; however, any edits to it will get removed if the file is opened in a newer version of Excel. Learn more: https://go.microsoft.com/fwlink/?linkid=870924
Comment:
    Not sampling</t>
      </text>
    </comment>
    <comment ref="W10" authorId="70" shapeId="0" xr:uid="{381293FD-DFDD-4D92-8232-B3C0971E70A3}">
      <text>
        <t>[Threaded comment]
Your version of Excel allows you to read this threaded comment; however, any edits to it will get removed if the file is opened in a newer version of Excel. Learn more: https://go.microsoft.com/fwlink/?linkid=870924
Comment:
    Not sampling</t>
      </text>
    </comment>
    <comment ref="X10" authorId="71" shapeId="0" xr:uid="{CFB8EB20-A411-45AC-8D80-72A5D33A93DB}">
      <text>
        <t>[Threaded comment]
Your version of Excel allows you to read this threaded comment; however, any edits to it will get removed if the file is opened in a newer version of Excel. Learn more: https://go.microsoft.com/fwlink/?linkid=870924
Comment:
    Not sampling</t>
      </text>
    </comment>
    <comment ref="Y10" authorId="72" shapeId="0" xr:uid="{6D12DB02-673C-4C94-A262-D1CD66C75BAB}">
      <text>
        <t>[Threaded comment]
Your version of Excel allows you to read this threaded comment; however, any edits to it will get removed if the file is opened in a newer version of Excel. Learn more: https://go.microsoft.com/fwlink/?linkid=870924
Comment:
    Not sampling</t>
      </text>
    </comment>
    <comment ref="Z10" authorId="73" shapeId="0" xr:uid="{CCC0C9A3-F935-44AA-B9DE-5A359C44043E}">
      <text>
        <t>[Threaded comment]
Your version of Excel allows you to read this threaded comment; however, any edits to it will get removed if the file is opened in a newer version of Excel. Learn more: https://go.microsoft.com/fwlink/?linkid=870924
Comment:
    Not sampling</t>
      </text>
    </comment>
    <comment ref="AA10" authorId="74" shapeId="0" xr:uid="{FAA92F70-F1A6-4C2F-AF04-C6C2400D1B1D}">
      <text>
        <t>[Threaded comment]
Your version of Excel allows you to read this threaded comment; however, any edits to it will get removed if the file is opened in a newer version of Excel. Learn more: https://go.microsoft.com/fwlink/?linkid=870924
Comment:
    Not sampling</t>
      </text>
    </comment>
    <comment ref="AB10" authorId="75" shapeId="0" xr:uid="{A2B60A78-0E85-49AF-95B4-954903CD2236}">
      <text>
        <t>[Threaded comment]
Your version of Excel allows you to read this threaded comment; however, any edits to it will get removed if the file is opened in a newer version of Excel. Learn more: https://go.microsoft.com/fwlink/?linkid=870924
Comment:
    Not sampling</t>
      </text>
    </comment>
    <comment ref="AC10" authorId="76" shapeId="0" xr:uid="{476D5596-102E-4B50-BC1F-710FDD6F5E6A}">
      <text>
        <t>[Threaded comment]
Your version of Excel allows you to read this threaded comment; however, any edits to it will get removed if the file is opened in a newer version of Excel. Learn more: https://go.microsoft.com/fwlink/?linkid=870924
Comment:
    Not sampling</t>
      </text>
    </comment>
    <comment ref="AD10" authorId="77" shapeId="0" xr:uid="{02B14049-72FB-499B-91B9-1ABDCC44C705}">
      <text>
        <t>[Threaded comment]
Your version of Excel allows you to read this threaded comment; however, any edits to it will get removed if the file is opened in a newer version of Excel. Learn more: https://go.microsoft.com/fwlink/?linkid=870924
Comment:
    Not sampling</t>
      </text>
    </comment>
    <comment ref="AE10" authorId="78" shapeId="0" xr:uid="{A3F09A68-B13F-43B9-8B03-A67197BF103F}">
      <text>
        <t>[Threaded comment]
Your version of Excel allows you to read this threaded comment; however, any edits to it will get removed if the file is opened in a newer version of Excel. Learn more: https://go.microsoft.com/fwlink/?linkid=870924
Comment:
    Not sampling</t>
      </text>
    </comment>
    <comment ref="AM13" authorId="79" shapeId="0" xr:uid="{D3F9D01D-5C72-4148-9FB4-4FD04C6E0EF3}">
      <text>
        <t>[Threaded comment]
Your version of Excel allows you to read this threaded comment; however, any edits to it will get removed if the file is opened in a newer version of Excel. Learn more: https://go.microsoft.com/fwlink/?linkid=870924
Comment:
    Blue laser malfunction</t>
      </text>
    </comment>
    <comment ref="AP13" authorId="80" shapeId="0" xr:uid="{55229CA7-FD62-4C0C-A92F-354C0BBA60D0}">
      <text>
        <t>[Threaded comment]
Your version of Excel allows you to read this threaded comment; however, any edits to it will get removed if the file is opened in a newer version of Excel. Learn more: https://go.microsoft.com/fwlink/?linkid=870924
Comment:
    Blue laser malfunction</t>
      </text>
    </comment>
    <comment ref="AT13" authorId="81" shapeId="0" xr:uid="{AEBA0AF0-8315-43B1-8D4C-B7EB25B184A7}">
      <text>
        <t>[Threaded comment]
Your version of Excel allows you to read this threaded comment; however, any edits to it will get removed if the file is opened in a newer version of Excel. Learn more: https://go.microsoft.com/fwlink/?linkid=870924
Comment:
    Missing blue laser</t>
      </text>
    </comment>
    <comment ref="AW13" authorId="82" shapeId="0" xr:uid="{30D29CF6-A9F2-48A4-A308-996825863A60}">
      <text>
        <t>[Threaded comment]
Your version of Excel allows you to read this threaded comment; however, any edits to it will get removed if the file is opened in a newer version of Excel. Learn more: https://go.microsoft.com/fwlink/?linkid=870924
Comment:
    Missing blue laser - so calculations leave out blue channel</t>
      </text>
    </comment>
    <comment ref="AM14" authorId="83" shapeId="0" xr:uid="{6C66B78B-E1D3-48CE-B80A-EA521FC4E9EA}">
      <text>
        <t>[Threaded comment]
Your version of Excel allows you to read this threaded comment; however, any edits to it will get removed if the file is opened in a newer version of Excel. Learn more: https://go.microsoft.com/fwlink/?linkid=870924
Comment:
    Blue laser malfunction</t>
      </text>
    </comment>
    <comment ref="AP14" authorId="84" shapeId="0" xr:uid="{9D51A0F4-53C7-48E4-9072-670FE29485BC}">
      <text>
        <t>[Threaded comment]
Your version of Excel allows you to read this threaded comment; however, any edits to it will get removed if the file is opened in a newer version of Excel. Learn more: https://go.microsoft.com/fwlink/?linkid=870924
Comment:
    Blue laser malfunction</t>
      </text>
    </comment>
    <comment ref="AT14" authorId="85" shapeId="0" xr:uid="{210C7AD9-DBD3-40DF-89AF-E7C4FEDD3F63}">
      <text>
        <t>[Threaded comment]
Your version of Excel allows you to read this threaded comment; however, any edits to it will get removed if the file is opened in a newer version of Excel. Learn more: https://go.microsoft.com/fwlink/?linkid=870924
Comment:
    Missing blue laser</t>
      </text>
    </comment>
    <comment ref="AY18" authorId="86" shapeId="0" xr:uid="{17F9B86D-7C78-4F86-A168-D7771B646D5C}">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AZ18" authorId="87" shapeId="0" xr:uid="{8E05BBAD-D5C1-42D0-B8A5-A41084012619}">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A18" authorId="88" shapeId="0" xr:uid="{AFD928C8-7AB0-4295-855D-6AB13FCDD2F2}">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B18" authorId="89" shapeId="0" xr:uid="{1C78E5F5-0A85-4219-B2E8-F87366F70D98}">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C18" authorId="90" shapeId="0" xr:uid="{6EFB9501-CD34-4385-9FAA-AAE236BBB4D0}">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D18" authorId="91" shapeId="0" xr:uid="{80B55131-0FF9-4C93-AEAB-002D409B2EC2}">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E18" authorId="92" shapeId="0" xr:uid="{2C671137-013E-4BC0-9411-678F4061D3A2}">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F18" authorId="93" shapeId="0" xr:uid="{C6AE8482-A355-4165-A187-CEDA7D6D4971}">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G18" authorId="94" shapeId="0" xr:uid="{D7F0A459-030D-4AFE-AF0A-FC63A80AD483}">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H18" authorId="95" shapeId="0" xr:uid="{EB9E4FCD-56BD-43C2-999D-F71174EE9697}">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I18" authorId="96" shapeId="0" xr:uid="{EB170C89-6517-4901-BE4F-0201F0BB67F7}">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J18" authorId="97" shapeId="0" xr:uid="{06AEC92E-DAEA-4C61-850A-AF18F512EBD1}">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K18" authorId="98" shapeId="0" xr:uid="{72C2C3F6-6D5F-40CF-AEF2-B3C03C5B7CD0}">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L18" authorId="99" shapeId="0" xr:uid="{57136645-85B4-448F-B3C1-B84CDB80AA15}">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M18" authorId="100" shapeId="0" xr:uid="{9D5CC7FF-5ACB-4058-9F9D-16E09BE270FD}">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N18" authorId="101" shapeId="0" xr:uid="{9549DB3C-0303-48A2-921E-5C66893491E8}">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O18" authorId="102" shapeId="0" xr:uid="{6594A375-FB99-4EFA-8B38-9555C8E6220F}">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P18" authorId="103" shapeId="0" xr:uid="{3769FFBD-F933-424B-9323-A57BC359A03D}">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Q18" authorId="104" shapeId="0" xr:uid="{0CD11ACB-99FB-42D2-BE2B-C6764390E48C}">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R18" authorId="105" shapeId="0" xr:uid="{60409FD5-ADC4-4C89-BBBF-F2690E72F82D}">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S18" authorId="106" shapeId="0" xr:uid="{9D61D89B-847F-4874-A95B-45A4F193ADE4}">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T18" authorId="107" shapeId="0" xr:uid="{60337DFE-89AD-4E19-858A-F8050CCDE890}">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U18" authorId="108" shapeId="0" xr:uid="{A8656CCA-A4B1-426F-BEAC-FA790A8CCB35}">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V18" authorId="109" shapeId="0" xr:uid="{CE000F6C-2489-46E4-B9E1-BD5A18C64A4F}">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W18" authorId="110" shapeId="0" xr:uid="{5BAD32AC-14D7-41C2-AF6E-8EBE8029C081}">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X18" authorId="111" shapeId="0" xr:uid="{10AEA3B2-9413-4E4C-BAC1-E1AB95DED97E}">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Y18" authorId="112" shapeId="0" xr:uid="{6B865735-007D-4504-A942-D221D102B942}">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BZ18" authorId="113" shapeId="0" xr:uid="{DB66F328-D780-4CE7-8212-1D3A58AAD43C}">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A18" authorId="114" shapeId="0" xr:uid="{248827C7-7056-41BF-88EA-FD6D154E473F}">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B18" authorId="115" shapeId="0" xr:uid="{6BB140B8-7EB2-47BB-8441-AC66A74289D8}">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C18" authorId="116" shapeId="0" xr:uid="{0D6125DA-A68E-4357-849E-D0B7DB6A1A05}">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D18" authorId="117" shapeId="0" xr:uid="{1FF5C385-582C-4532-8A01-4ABCF7EEEF1A}">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E18" authorId="118" shapeId="0" xr:uid="{4163AF59-1CCF-4FAD-84F5-37B723C7EC60}">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F18" authorId="119" shapeId="0" xr:uid="{D925D34F-50DF-438B-9B05-89AA8F79AE54}">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G18" authorId="120" shapeId="0" xr:uid="{DBE17CD7-60F2-4367-86F7-C05ED477A25A}">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CH18" authorId="121" shapeId="0" xr:uid="{C39596AD-BED6-4AD9-838E-A7949DCC84BD}">
      <text>
        <t>[Threaded comment]
Your version of Excel allows you to read this threaded comment; however, any edits to it will get removed if the file is opened in a newer version of Excel. Learn more: https://go.microsoft.com/fwlink/?linkid=870924
Comment:
    EEPS stopped sampling early</t>
      </text>
    </comment>
    <comment ref="AE25" authorId="122" shapeId="0" xr:uid="{9FF27CDE-90E7-416B-8E4E-5139C8D8D349}">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L25" authorId="123" shapeId="0" xr:uid="{D8629C9C-8D54-459C-8BD4-BEDE40505A8F}">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T25" authorId="124" shapeId="0" xr:uid="{93EB644E-93F5-445A-900A-ED6470C53792}">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U25" authorId="125" shapeId="0" xr:uid="{7F721CA7-DA04-4644-B0BE-0E5FBA551ACF}">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V25" authorId="126" shapeId="0" xr:uid="{69378A3C-6673-4BE9-AD60-B37B0DBDFAE0}">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W25" authorId="127" shapeId="0" xr:uid="{E2028A45-A689-4A67-BB57-678B52B7A388}">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 ref="AX25" authorId="128" shapeId="0" xr:uid="{A3454907-F47C-4C7D-A482-1E5DE4571D8C}">
      <text>
        <t>[Threaded comment]
Your version of Excel allows you to read this threaded comment; however, any edits to it will get removed if the file is opened in a newer version of Excel. Learn more: https://go.microsoft.com/fwlink/?linkid=870924
Comment:
    Not calculated for background samples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tc={56FA8BC3-C6ED-4ED6-B4AA-9AF61C9BAC38}</author>
    <author>tc={E90B9B37-6158-4C32-9C12-89DEF2675121}</author>
    <author>tc={6B57223A-3701-4809-BDB3-B156A451C0C0}</author>
    <author>tc={61F0F446-1D90-4398-8E57-00BCC06860DA}</author>
    <author>tc={60C31987-6EB2-4EE5-AF2B-7CA64DB9AC73}</author>
    <author>tc={6231569E-8F4F-433A-A01B-395BEE0D8E7D}</author>
    <author>tc={934D2D77-A2A3-4132-BAE9-500C035BE34B}</author>
    <author>tc={9AFE1F98-ACD5-4732-A3BD-9FEE5AC50D60}</author>
    <author>tc={9F981CF1-A1C6-4356-A6E7-CF1F41CC918E}</author>
    <author>tc={DBE5AC7E-43D4-437A-A08D-C905084DF94B}</author>
    <author>tc={B4F9C912-EBD4-44F2-BC46-1EF4FA2B0046}</author>
  </authors>
  <commentList>
    <comment ref="M2" authorId="0" shapeId="0" xr:uid="{56FA8BC3-C6ED-4ED6-B4AA-9AF61C9BAC38}">
      <text>
        <t>[Threaded comment]
Your version of Excel allows you to read this threaded comment; however, any edits to it will get removed if the file is opened in a newer version of Excel. Learn more: https://go.microsoft.com/fwlink/?linkid=870924
Comment:
    Methane analyzer not working</t>
      </text>
    </comment>
    <comment ref="P2" authorId="1" shapeId="0" xr:uid="{E90B9B37-6158-4C32-9C12-89DEF2675121}">
      <text>
        <t>[Threaded comment]
Your version of Excel allows you to read this threaded comment; however, any edits to it will get removed if the file is opened in a newer version of Excel. Learn more: https://go.microsoft.com/fwlink/?linkid=870924
Comment:
    Methane analyzer not working</t>
      </text>
    </comment>
    <comment ref="Q2" authorId="2" shapeId="0" xr:uid="{6B57223A-3701-4809-BDB3-B156A451C0C0}">
      <text>
        <t>[Threaded comment]
Your version of Excel allows you to read this threaded comment; however, any edits to it will get removed if the file is opened in a newer version of Excel. Learn more: https://go.microsoft.com/fwlink/?linkid=870924
Comment:
    No MCE for background sample</t>
      </text>
    </comment>
    <comment ref="R2" authorId="3" shapeId="0" xr:uid="{61F0F446-1D90-4398-8E57-00BCC06860DA}">
      <text>
        <t>[Threaded comment]
Your version of Excel allows you to read this threaded comment; however, any edits to it will get removed if the file is opened in a newer version of Excel. Learn more: https://go.microsoft.com/fwlink/?linkid=870924
Comment:
    No MCE for background sample</t>
      </text>
    </comment>
    <comment ref="M7" authorId="4" shapeId="0" xr:uid="{60C31987-6EB2-4EE5-AF2B-7CA64DB9AC73}">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P7" authorId="5" shapeId="0" xr:uid="{6231569E-8F4F-433A-A01B-395BEE0D8E7D}">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M8" authorId="6" shapeId="0" xr:uid="{934D2D77-A2A3-4132-BAE9-500C035BE34B}">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P8" authorId="7" shapeId="0" xr:uid="{9AFE1F98-ACD5-4732-A3BD-9FEE5AC50D60}">
      <text>
        <t>[Threaded comment]
Your version of Excel allows you to read this threaded comment; however, any edits to it will get removed if the file is opened in a newer version of Excel. Learn more: https://go.microsoft.com/fwlink/?linkid=870924
Comment:
    No methane due to FID issue</t>
      </text>
    </comment>
    <comment ref="P25" authorId="8" shapeId="0" xr:uid="{9F981CF1-A1C6-4356-A6E7-CF1F41CC918E}">
      <text>
        <t>[Threaded comment]
Your version of Excel allows you to read this threaded comment; however, any edits to it will get removed if the file is opened in a newer version of Excel. Learn more: https://go.microsoft.com/fwlink/?linkid=870924
Comment:
    No CH4/THC for background sample</t>
      </text>
    </comment>
    <comment ref="Q25" authorId="9" shapeId="0" xr:uid="{DBE5AC7E-43D4-437A-A08D-C905084DF94B}">
      <text>
        <t>[Threaded comment]
Your version of Excel allows you to read this threaded comment; however, any edits to it will get removed if the file is opened in a newer version of Excel. Learn more: https://go.microsoft.com/fwlink/?linkid=870924
Comment:
    No MCE for background sample</t>
      </text>
    </comment>
    <comment ref="R25" authorId="10" shapeId="0" xr:uid="{B4F9C912-EBD4-44F2-BC46-1EF4FA2B0046}">
      <text>
        <t>[Threaded comment]
Your version of Excel allows you to read this threaded comment; however, any edits to it will get removed if the file is opened in a newer version of Excel. Learn more: https://go.microsoft.com/fwlink/?linkid=870924
Comment:
    No MCE for background sample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tc={83BFADAC-B82F-4120-98FC-A494D82794B8}</author>
    <author>tc={321D3530-1FC4-4D5D-9EB2-5355A77A88F2}</author>
    <author>tc={BBEFF642-F353-4D0D-A354-63CDED19D124}</author>
  </authors>
  <commentList>
    <comment ref="G5" authorId="0" shapeId="0" xr:uid="{83BFADAC-B82F-4120-98FC-A494D82794B8}">
      <text>
        <t>[Threaded comment]
Your version of Excel allows you to read this threaded comment; however, any edits to it will get removed if the file is opened in a newer version of Excel. Learn more: https://go.microsoft.com/fwlink/?linkid=870924
Comment:
    Chimney CO2 failed post span</t>
      </text>
    </comment>
    <comment ref="U5" authorId="1" shapeId="0" xr:uid="{321D3530-1FC4-4D5D-9EB2-5355A77A88F2}">
      <text>
        <t>[Threaded comment]
Your version of Excel allows you to read this threaded comment; however, any edits to it will get removed if the file is opened in a newer version of Excel. Learn more: https://go.microsoft.com/fwlink/?linkid=870924
Comment:
    Failed span</t>
      </text>
    </comment>
    <comment ref="S6" authorId="2" shapeId="0" xr:uid="{BBEFF642-F353-4D0D-A354-63CDED19D124}">
      <text>
        <t>[Threaded comment]
Your version of Excel allows you to read this threaded comment; however, any edits to it will get removed if the file is opened in a newer version of Excel. Learn more: https://go.microsoft.com/fwlink/?linkid=870924
Comment:
    Failed post zero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<sst xmlns="http://schemas.openxmlformats.org/spreadsheetml/2006/main" count="4168" uniqueCount="1020">
  <si>
    <t>For Internal Use Only - Do Not Distribute Outside of EPA</t>
  </si>
  <si>
    <t>The data in this spreadsheet is intended to be used to generate SPECIATE profiles for the cordwood combustion in a catalytic stove</t>
  </si>
  <si>
    <t>Data is from filter samples collected simultaneously during the startup, high fire, and low fire phases of stove operation</t>
  </si>
  <si>
    <t>Experiments were carried out at the RTP open burn test facility in 2021</t>
  </si>
  <si>
    <t>Data is organized into the following tabs:</t>
  </si>
  <si>
    <t>Filter Weights = filter gravimetric, thermal optical, and elemental masses and calculated concentrations</t>
  </si>
  <si>
    <t>Backgrounds = Daily background from continuous instruments and batch background samples</t>
  </si>
  <si>
    <t>Phase Parameters = Stove Fueling parameters, lab and duct environmental conditions by test phase</t>
  </si>
  <si>
    <t>Phase CEMS PM Concentrations = CEMs and PM concentrations by test phase</t>
  </si>
  <si>
    <t>Phase CEMS VOC concentrations = CEMS concentrations by test phase</t>
  </si>
  <si>
    <t>Emission Factors = Emission factors for every measured pollutant by test phase</t>
  </si>
  <si>
    <t>Data for SPECIATE = Valid test data for consideration for the development of SPECIATION profiles</t>
  </si>
  <si>
    <t>Cells with missing data are commented to provide the reason for the missing data</t>
  </si>
  <si>
    <t>Samples with quality issues are highlighted in red and commented to provide reason</t>
  </si>
  <si>
    <t>Disclaimer: The views expressed in this presentation are those of the authors and do not necessarily represent the views or the policies of the U.S. Environmental Protection Agency. Any mention of trade names, manufacturers or products does not imply an endorsement by the United States Government or the U.S. Environmental Protection Agency. EPA and its employees do not endorse any commercial products, services, or enterprises.</t>
  </si>
  <si>
    <t>Data Parameter</t>
  </si>
  <si>
    <t>Description</t>
  </si>
  <si>
    <t>Unit or Units</t>
  </si>
  <si>
    <t>Test Date</t>
  </si>
  <si>
    <t>Date test occurred</t>
  </si>
  <si>
    <t>n/a</t>
  </si>
  <si>
    <t>Stove</t>
  </si>
  <si>
    <t>Stove model used in test</t>
  </si>
  <si>
    <t>Fuel</t>
  </si>
  <si>
    <t>Fuel species used in test</t>
  </si>
  <si>
    <t>Phase</t>
  </si>
  <si>
    <t>Stove operation phase</t>
  </si>
  <si>
    <t>Start Time</t>
  </si>
  <si>
    <t>Start time of the test phase</t>
  </si>
  <si>
    <t>End Time</t>
  </si>
  <si>
    <t>End time of the test phase</t>
  </si>
  <si>
    <t>Sample ID</t>
  </si>
  <si>
    <t>Core sample ID for the test phase</t>
  </si>
  <si>
    <t>Sample Description</t>
  </si>
  <si>
    <t>Description of the test fuel, stove and phase</t>
  </si>
  <si>
    <t>Duration (min)</t>
  </si>
  <si>
    <t>Length of the test phase</t>
  </si>
  <si>
    <t>min</t>
  </si>
  <si>
    <t>Fuel (kg)</t>
  </si>
  <si>
    <t>Mass of fuel consumed in the test phase on a wet basis</t>
  </si>
  <si>
    <t>kg</t>
  </si>
  <si>
    <t>Wet Burn Rate (kg/hr)</t>
  </si>
  <si>
    <t>Mass of fuel consumed per unit time on a wet basis</t>
  </si>
  <si>
    <t>kg/hr</t>
  </si>
  <si>
    <t>MC (wet Basis)</t>
  </si>
  <si>
    <t>Moisture content of fuel on a wet basis</t>
  </si>
  <si>
    <t>%</t>
  </si>
  <si>
    <t>Est. Dry Burn Rate (kg/hr)</t>
  </si>
  <si>
    <t>Mass of fuel consumed per unit time on a dry basis</t>
  </si>
  <si>
    <t>Temp Chimney (°C)</t>
  </si>
  <si>
    <t>Chimney temperature</t>
  </si>
  <si>
    <t>°C</t>
  </si>
  <si>
    <t>Temp 6" (°C)</t>
  </si>
  <si>
    <t>6" Duct temperature</t>
  </si>
  <si>
    <t>RH  6" (%)</t>
  </si>
  <si>
    <t>6" Duct relative humidity</t>
  </si>
  <si>
    <t>Press 6" (hPa)</t>
  </si>
  <si>
    <t>6" Duct pressure</t>
  </si>
  <si>
    <t>hPa</t>
  </si>
  <si>
    <t>Vel 6" (fpm)</t>
  </si>
  <si>
    <t>6" Duct velocity</t>
  </si>
  <si>
    <t>fpm</t>
  </si>
  <si>
    <t>Qdry 6" (cfm)</t>
  </si>
  <si>
    <t>6" Duct flow rate</t>
  </si>
  <si>
    <t>cfm</t>
  </si>
  <si>
    <t>Temp 10" (°C)</t>
  </si>
  <si>
    <t>10" Duct temperature</t>
  </si>
  <si>
    <t>RH 10" (%)</t>
  </si>
  <si>
    <t>10" Duct relative humidity</t>
  </si>
  <si>
    <t>Press 10" (hPa)</t>
  </si>
  <si>
    <t>10" Duct pressure</t>
  </si>
  <si>
    <t>Vel 10" (fpm)</t>
  </si>
  <si>
    <t>10" Duct velocity</t>
  </si>
  <si>
    <t>Qdry 10" (cfm)</t>
  </si>
  <si>
    <t>10" Duct flow rate</t>
  </si>
  <si>
    <t>Temp Ambient (°C)</t>
  </si>
  <si>
    <t>Ambient temperature</t>
  </si>
  <si>
    <t>Filter ID core</t>
  </si>
  <si>
    <t>Filter core ID name</t>
  </si>
  <si>
    <t>XRF Teflon ID</t>
  </si>
  <si>
    <t>XRF Teflon ID name</t>
  </si>
  <si>
    <t>Teflon ID</t>
  </si>
  <si>
    <t>Teflon ID name</t>
  </si>
  <si>
    <t>Filter Mass (mg)</t>
  </si>
  <si>
    <t>Filter gravimetric mass</t>
  </si>
  <si>
    <t>mg</t>
  </si>
  <si>
    <t>OC (ug/cm2)</t>
  </si>
  <si>
    <t>Organic carbon (mass per filter area, mass per filter, mass concentration, mass emission factor)</t>
  </si>
  <si>
    <r>
      <t>µg/cm</t>
    </r>
    <r>
      <rPr>
        <vertAlign val="superscript"/>
        <sz val="11"/>
        <rFont val="Calibri"/>
        <family val="2"/>
      </rPr>
      <t>2</t>
    </r>
    <r>
      <rPr>
        <sz val="11"/>
        <rFont val="Calibri"/>
        <family val="2"/>
      </rPr>
      <t>, mg, mg/m</t>
    </r>
    <r>
      <rPr>
        <vertAlign val="superscript"/>
        <sz val="11"/>
        <rFont val="Calibri"/>
        <family val="2"/>
      </rPr>
      <t>3</t>
    </r>
    <r>
      <rPr>
        <sz val="11"/>
        <rFont val="Calibri"/>
        <family val="2"/>
      </rPr>
      <t xml:space="preserve">, or g/kg </t>
    </r>
  </si>
  <si>
    <t>EC (ug/cm2)</t>
  </si>
  <si>
    <t>Elemental carbon (mass per filter area, mass per filter, mass concentration, mass emission factor)</t>
  </si>
  <si>
    <t>OC_QBF (ug/cm2)</t>
  </si>
  <si>
    <t>Back filter (behind Teflon) organic carbon (mass per filter area, mass per filter)</t>
  </si>
  <si>
    <r>
      <t>µg/cm</t>
    </r>
    <r>
      <rPr>
        <vertAlign val="superscript"/>
        <sz val="11"/>
        <rFont val="Calibri"/>
        <family val="2"/>
      </rPr>
      <t>2</t>
    </r>
    <r>
      <rPr>
        <sz val="11"/>
        <rFont val="Calibri"/>
        <family val="2"/>
      </rPr>
      <t>, mg</t>
    </r>
  </si>
  <si>
    <t>EC_QBF (ug/cm2)</t>
  </si>
  <si>
    <t>Back filter (behind Teflon) elemental carbon (mass per filter area, mass per filter)</t>
  </si>
  <si>
    <t>PM - blank (mg)</t>
  </si>
  <si>
    <t>Blank subtracted PM filter mass</t>
  </si>
  <si>
    <t>OC-blank (mg)</t>
  </si>
  <si>
    <t>Blank subtracted OC filter mass</t>
  </si>
  <si>
    <t>EC-blank (mg)</t>
  </si>
  <si>
    <t>Blank subtracted EC filter mass</t>
  </si>
  <si>
    <t>OC_QBF - blank (mg)</t>
  </si>
  <si>
    <t>Blank subtracted back filter OC mass</t>
  </si>
  <si>
    <t>EC_QBF - blank (mg)</t>
  </si>
  <si>
    <t>Blank subtracted back filter EC mass</t>
  </si>
  <si>
    <t>Qteflon (m3)</t>
  </si>
  <si>
    <t>Teflon filter sample volume</t>
  </si>
  <si>
    <r>
      <t>m</t>
    </r>
    <r>
      <rPr>
        <vertAlign val="superscript"/>
        <sz val="11"/>
        <rFont val="Calibri"/>
        <family val="2"/>
        <scheme val="minor"/>
      </rPr>
      <t>3</t>
    </r>
  </si>
  <si>
    <t>Qquartz (m3)</t>
  </si>
  <si>
    <t>Quartz filter sample volume</t>
  </si>
  <si>
    <t>Q Perc Diff</t>
  </si>
  <si>
    <t>Percent different between Teflon and quartz sample volume</t>
  </si>
  <si>
    <t>PM (mg/m3)</t>
  </si>
  <si>
    <t>PM concentration</t>
  </si>
  <si>
    <r>
      <t xml:space="preserve"> mg/m</t>
    </r>
    <r>
      <rPr>
        <vertAlign val="superscript"/>
        <sz val="11"/>
        <rFont val="Calibri"/>
        <family val="2"/>
        <scheme val="minor"/>
      </rPr>
      <t>3</t>
    </r>
  </si>
  <si>
    <t>Na (ug)</t>
  </si>
  <si>
    <t>Sodium (XRF)</t>
  </si>
  <si>
    <r>
      <t>µg, µg/m</t>
    </r>
    <r>
      <rPr>
        <vertAlign val="superscript"/>
        <sz val="11"/>
        <rFont val="Calibri"/>
        <family val="2"/>
      </rPr>
      <t>3</t>
    </r>
    <r>
      <rPr>
        <sz val="11"/>
        <rFont val="Calibri"/>
        <family val="2"/>
      </rPr>
      <t xml:space="preserve">, or mg/kg </t>
    </r>
  </si>
  <si>
    <t>Mg (ug)</t>
  </si>
  <si>
    <t>Magnesium (XRF)</t>
  </si>
  <si>
    <t>Al (ug)</t>
  </si>
  <si>
    <t>Aluminum (XRF)</t>
  </si>
  <si>
    <t>Si (ug)</t>
  </si>
  <si>
    <t>Silicon (XRF)</t>
  </si>
  <si>
    <t>P (ug)</t>
  </si>
  <si>
    <t>Phosphorus (XRF)</t>
  </si>
  <si>
    <t>S (ug)</t>
  </si>
  <si>
    <t>Sulfur (XRF)</t>
  </si>
  <si>
    <t>Cl (ug)</t>
  </si>
  <si>
    <t>Chlorine (XRF)</t>
  </si>
  <si>
    <t>K (ug)</t>
  </si>
  <si>
    <t>Potassium (XRF)</t>
  </si>
  <si>
    <t>Ca (ug)</t>
  </si>
  <si>
    <t>Calcium (XRF)</t>
  </si>
  <si>
    <t>Ti  (ug)</t>
  </si>
  <si>
    <t>Titanium (XRF)</t>
  </si>
  <si>
    <t>V  (ug)</t>
  </si>
  <si>
    <t>Vanadium (XRF)</t>
  </si>
  <si>
    <t>Cr  (ug)</t>
  </si>
  <si>
    <t>Chromium (XRF)</t>
  </si>
  <si>
    <t>Mn  (ug)</t>
  </si>
  <si>
    <t>Manganese (XRF)</t>
  </si>
  <si>
    <t>Fe (ug)</t>
  </si>
  <si>
    <t>Irogn (XRF)</t>
  </si>
  <si>
    <t>Co (ug)</t>
  </si>
  <si>
    <t>Cobalt (XRF)</t>
  </si>
  <si>
    <t>Ni (ug)</t>
  </si>
  <si>
    <t>Nickel (XRF)</t>
  </si>
  <si>
    <t>Cu (ug)</t>
  </si>
  <si>
    <t>Copper (XRF)</t>
  </si>
  <si>
    <t>Zn (ug)</t>
  </si>
  <si>
    <t>Zinc (XRF)</t>
  </si>
  <si>
    <t>Ga (ug)</t>
  </si>
  <si>
    <t>Gallium (XRF)</t>
  </si>
  <si>
    <t>Ge (ug)</t>
  </si>
  <si>
    <t>Germanium (XRF)</t>
  </si>
  <si>
    <t>As (ug)</t>
  </si>
  <si>
    <t>Arsenic (XRF)</t>
  </si>
  <si>
    <t>Se (ug)</t>
  </si>
  <si>
    <t>Selenium (XRF)</t>
  </si>
  <si>
    <t>Br (ug)</t>
  </si>
  <si>
    <t>Bromine (XRF)</t>
  </si>
  <si>
    <t>Rb (ug)</t>
  </si>
  <si>
    <t>Rubidium (XRF)</t>
  </si>
  <si>
    <t>Sr (ug)</t>
  </si>
  <si>
    <t>Strontium (XRF)</t>
  </si>
  <si>
    <t>Y (ug)</t>
  </si>
  <si>
    <t>Yttrium (XRF)</t>
  </si>
  <si>
    <t>Zr (ug)</t>
  </si>
  <si>
    <t>Zirconium (XRF)</t>
  </si>
  <si>
    <t>Mo (ug)</t>
  </si>
  <si>
    <t>Molybdenum (XRF)</t>
  </si>
  <si>
    <t>Pd (ug)</t>
  </si>
  <si>
    <t>Palladium (XRF)</t>
  </si>
  <si>
    <t>Ag (ug)</t>
  </si>
  <si>
    <t>Silver (XRF)</t>
  </si>
  <si>
    <t>Cd (ug)</t>
  </si>
  <si>
    <t>Cadmium (XRF)</t>
  </si>
  <si>
    <t>In (ug)</t>
  </si>
  <si>
    <t>Indium (XRF)</t>
  </si>
  <si>
    <t>Sn (ug)</t>
  </si>
  <si>
    <t>Tin (XRF)</t>
  </si>
  <si>
    <t>Sb (ug)</t>
  </si>
  <si>
    <t>Antimony (XRF)</t>
  </si>
  <si>
    <t>Ba (ug)</t>
  </si>
  <si>
    <t>Barium (XRF)</t>
  </si>
  <si>
    <t>La (ug)</t>
  </si>
  <si>
    <t>Lanthanum (XRF)</t>
  </si>
  <si>
    <t>Hg (ug)</t>
  </si>
  <si>
    <t>Mercury (XRF)</t>
  </si>
  <si>
    <t>Pb (ug)</t>
  </si>
  <si>
    <t>Lead (XRF)</t>
  </si>
  <si>
    <t>Sum of Elements (mg/m3)</t>
  </si>
  <si>
    <t>Sum of elements</t>
  </si>
  <si>
    <r>
      <t>mg/m</t>
    </r>
    <r>
      <rPr>
        <vertAlign val="superscript"/>
        <sz val="11"/>
        <rFont val="Calibri"/>
        <family val="2"/>
        <scheme val="minor"/>
      </rPr>
      <t>3</t>
    </r>
  </si>
  <si>
    <t>EC/TC</t>
  </si>
  <si>
    <t>Ratio of elemental carbon to total carbon</t>
  </si>
  <si>
    <t>dimensionless</t>
  </si>
  <si>
    <t>OC/TC</t>
  </si>
  <si>
    <t>Ratio of organic carbon to total carbon</t>
  </si>
  <si>
    <t>OC/PM - Corr</t>
  </si>
  <si>
    <t>Ratio of organic carbon - back filter organic carbon to PM mass</t>
  </si>
  <si>
    <t>OC/PM raw</t>
  </si>
  <si>
    <t>Ratio of organic carbon to PM mass</t>
  </si>
  <si>
    <t>EC/PM corr</t>
  </si>
  <si>
    <t>Ratio of elemental carbon - back filter elemental carbon to PM mass</t>
  </si>
  <si>
    <t>EC/PM raw</t>
  </si>
  <si>
    <t>Ratio of elemental carbon to PM mass</t>
  </si>
  <si>
    <t>TC/PM</t>
  </si>
  <si>
    <t>Ratio of total carbon to PM mass</t>
  </si>
  <si>
    <t>Chimney CO2 (%)</t>
  </si>
  <si>
    <t>Chimney carbon dioxide concentration</t>
  </si>
  <si>
    <t>Chimney CO (%)</t>
  </si>
  <si>
    <t>Chimney carbon monoxide concentration</t>
  </si>
  <si>
    <t>Chimney O2 (%)</t>
  </si>
  <si>
    <t>Chimney oxygen concentration</t>
  </si>
  <si>
    <t>CO2 10" (ppm)</t>
  </si>
  <si>
    <t>10" duct carbon dioxide concentration</t>
  </si>
  <si>
    <t>ppm</t>
  </si>
  <si>
    <t>CO 10" (ppm)</t>
  </si>
  <si>
    <t>10" duct carbon monoxide concentration high range</t>
  </si>
  <si>
    <t>CO 10" low (ppm)</t>
  </si>
  <si>
    <t>10" duct carbon monoxide concentration low range</t>
  </si>
  <si>
    <t>THC 10" (ppm)</t>
  </si>
  <si>
    <t>10" duct total hydrocarbon concentration</t>
  </si>
  <si>
    <t>CH4 10" (ppm)</t>
  </si>
  <si>
    <t>10" duct methane concentration</t>
  </si>
  <si>
    <t>NOx 10" (ppm)</t>
  </si>
  <si>
    <t>10" duct nitrogen oxides concentration</t>
  </si>
  <si>
    <t>NO 10" (ppm)</t>
  </si>
  <si>
    <t>10" duct nitric oxide concentration</t>
  </si>
  <si>
    <t>CO2 man (ppm)</t>
  </si>
  <si>
    <t>Dilution manifold carbon dioxide concentration</t>
  </si>
  <si>
    <t>AE33 BC7 (mg/m3)</t>
  </si>
  <si>
    <t>AE33 Black carbon concentration at 950 nm</t>
  </si>
  <si>
    <t>AE33 BC6 (mg/m3)</t>
  </si>
  <si>
    <t>AE33 Black carbon concentration at 880 nm</t>
  </si>
  <si>
    <t>AE33 BC5 (mg/m3)</t>
  </si>
  <si>
    <t>AE33 Black carbon concentration at 660 nm</t>
  </si>
  <si>
    <t>AE33 BC4 (mg/m3)</t>
  </si>
  <si>
    <t>AE33 Black carbon concentration at 590 nm</t>
  </si>
  <si>
    <t>AE33 BC3 (mg/m3)</t>
  </si>
  <si>
    <t>AE33 Black carbon concentration at 520 nm</t>
  </si>
  <si>
    <t>AE33 BC2 (mg/m3)</t>
  </si>
  <si>
    <t>AE33 Black carbon concentration at 470 nm</t>
  </si>
  <si>
    <t>AE33 BC1 (mg/m3)</t>
  </si>
  <si>
    <t>AE33 Black carbon concentration at 370 nm</t>
  </si>
  <si>
    <t>MA350 BCir (mg/m3)</t>
  </si>
  <si>
    <t>MA350 Black carbon concentration at 880 nm</t>
  </si>
  <si>
    <t>MA350 BCred (mg/m3)</t>
  </si>
  <si>
    <t>MA350 Black carbon concentration at 625 nm</t>
  </si>
  <si>
    <t>MA350 BCgreen (mg/m3)</t>
  </si>
  <si>
    <t>MA350 Black carbon concentration at 528 nm</t>
  </si>
  <si>
    <t>MA350 BCblue (mg/m3)</t>
  </si>
  <si>
    <t>MA350 Black carbon concentration at 470 nm</t>
  </si>
  <si>
    <t>MA350 BCuv (mg/m3)</t>
  </si>
  <si>
    <t>MA350 Black carbon concentration at 375 nm</t>
  </si>
  <si>
    <t>Babs 781 (Mm-1)</t>
  </si>
  <si>
    <t>Absorption coefficient at 781 nm</t>
  </si>
  <si>
    <r>
      <t>Mm</t>
    </r>
    <r>
      <rPr>
        <vertAlign val="superscript"/>
        <sz val="11"/>
        <rFont val="Calibri"/>
        <family val="2"/>
        <scheme val="minor"/>
      </rPr>
      <t>-1</t>
    </r>
  </si>
  <si>
    <t>Babs 532 (Mm-1)</t>
  </si>
  <si>
    <t>Absorption coefficient at 532 nm</t>
  </si>
  <si>
    <t>Babs 450 (Mm-1)</t>
  </si>
  <si>
    <t>Absorption coefficient at 450 nm</t>
  </si>
  <si>
    <t>Bsca 781 (Mm-1)</t>
  </si>
  <si>
    <t>Scattering coefficient at 781 nm</t>
  </si>
  <si>
    <t>Bsca 532 (Mm-1)</t>
  </si>
  <si>
    <t>Scattering coefficient at 532 nm</t>
  </si>
  <si>
    <t>Bsca 405 (Mm-1)</t>
  </si>
  <si>
    <t>Scattering coefficient at 450 nm</t>
  </si>
  <si>
    <t>EEPS (#/cm3)</t>
  </si>
  <si>
    <t>Total number concentration measured by Engine Exhaust Particle Sizer</t>
  </si>
  <si>
    <r>
      <t>#/cm</t>
    </r>
    <r>
      <rPr>
        <vertAlign val="superscript"/>
        <sz val="11"/>
        <rFont val="Calibri"/>
        <family val="2"/>
        <scheme val="minor"/>
      </rPr>
      <t>3</t>
    </r>
  </si>
  <si>
    <t>UFP</t>
  </si>
  <si>
    <t>Number concentration &lt; 100 nm measured by Engine Exhaust Particle Sizer</t>
  </si>
  <si>
    <t>Number concentration in bin 6.04 nm</t>
  </si>
  <si>
    <r>
      <t>#/cm</t>
    </r>
    <r>
      <rPr>
        <vertAlign val="superscript"/>
        <sz val="11"/>
        <rFont val="Calibri"/>
        <family val="2"/>
        <scheme val="minor"/>
      </rPr>
      <t>3</t>
    </r>
    <r>
      <rPr>
        <sz val="11"/>
        <rFont val="Calibri"/>
        <family val="2"/>
        <scheme val="minor"/>
      </rPr>
      <t>/dlogDp</t>
    </r>
  </si>
  <si>
    <t>Number concentration in bin 6.98 nm</t>
  </si>
  <si>
    <t>Number concentration in bin 8.06 nm</t>
  </si>
  <si>
    <t>Number concentration in bin 9.31 nm</t>
  </si>
  <si>
    <t>Number concentration in bin 10.8 nm</t>
  </si>
  <si>
    <t>Number concentration in bin 12.4 nm</t>
  </si>
  <si>
    <t>Number concentration in bin 14.3 nm</t>
  </si>
  <si>
    <t>Number concentration in bin 16.5 nm</t>
  </si>
  <si>
    <t>Number concentration in bin 19.1 nm</t>
  </si>
  <si>
    <t>Number concentration in bin 22.1 nm</t>
  </si>
  <si>
    <t>Number concentration in bin 25.5 nm</t>
  </si>
  <si>
    <t>Number concentration in bin 29.4 nm</t>
  </si>
  <si>
    <t>Number concentration in bin 34 nm</t>
  </si>
  <si>
    <t>Number concentration in bin 39.2 nm</t>
  </si>
  <si>
    <t>Number concentration in bin 45.3 nm</t>
  </si>
  <si>
    <t>Number concentration in bin 52.3 nm</t>
  </si>
  <si>
    <t>Number concentration in bin 60.4 nm</t>
  </si>
  <si>
    <t>Number concentration in bin 69.8 nm</t>
  </si>
  <si>
    <t>Number concentration in bin 80.6 nm</t>
  </si>
  <si>
    <t>Number concentration in bin 93.1 nm</t>
  </si>
  <si>
    <t>Number concentration in bin 107.5 nm</t>
  </si>
  <si>
    <t>Number concentration in bin 124.1 nm</t>
  </si>
  <si>
    <t>Number concentration in bin 143.3 nm</t>
  </si>
  <si>
    <t>Number concentration in bin 165.5 nm</t>
  </si>
  <si>
    <t>Number concentration in bin 191.1 nm</t>
  </si>
  <si>
    <t>Number concentration in bin 220.7 nm</t>
  </si>
  <si>
    <t>Number concentration in bin 254.8 nm</t>
  </si>
  <si>
    <t>Number concentration in bin 294.3 nm</t>
  </si>
  <si>
    <t>Number concentration in bin 339.8 nm</t>
  </si>
  <si>
    <t>Number concentration in bin 392.4 nm</t>
  </si>
  <si>
    <t>Number concentration in bin 453.2 nm</t>
  </si>
  <si>
    <t>Number concentration in bin 523.3 nm</t>
  </si>
  <si>
    <t>CH4/THC</t>
  </si>
  <si>
    <t>Methane to total hydrocarbon ratio</t>
  </si>
  <si>
    <t>Stack MCE</t>
  </si>
  <si>
    <t>Modified combustion efficiency in the chimney</t>
  </si>
  <si>
    <t>10" MCE</t>
  </si>
  <si>
    <t>Modified combustion efficiency in the 10" duct</t>
  </si>
  <si>
    <t>NOx Cal</t>
  </si>
  <si>
    <t>NOx calibration quality control check</t>
  </si>
  <si>
    <t>NO Cal</t>
  </si>
  <si>
    <t>NO calibration quality control check</t>
  </si>
  <si>
    <t>COL Cal</t>
  </si>
  <si>
    <t>CO low calibration quality control check</t>
  </si>
  <si>
    <t>CO2 Cal</t>
  </si>
  <si>
    <t>CO2 calibration quality control check</t>
  </si>
  <si>
    <t>COH Cal</t>
  </si>
  <si>
    <t>CO high calibration quality control check</t>
  </si>
  <si>
    <t>THC Cal</t>
  </si>
  <si>
    <t>Total hydrocarbon calibration quality control check</t>
  </si>
  <si>
    <t>CH4 Cal</t>
  </si>
  <si>
    <t>CH4 calibration quality control check</t>
  </si>
  <si>
    <t>CO2bkg Cal</t>
  </si>
  <si>
    <t>CO2 background calibration quality control check</t>
  </si>
  <si>
    <t>Overall Efficiency* (HHV basis)</t>
  </si>
  <si>
    <t>Overall stove efficiency</t>
  </si>
  <si>
    <t>Combustion Efficiency* (HHV basis)</t>
  </si>
  <si>
    <t>Combustion efficiency</t>
  </si>
  <si>
    <t>Heat Transfer Efficiency* (HHV basis)</t>
  </si>
  <si>
    <t>Heat transfer efficiency</t>
  </si>
  <si>
    <t>Output Rate* (kJ/hr)</t>
  </si>
  <si>
    <t>Stove output heat rate</t>
  </si>
  <si>
    <t>kJ/hr</t>
  </si>
  <si>
    <t>Input Rate* (kJ/hr)</t>
  </si>
  <si>
    <t>Stove input energy rate</t>
  </si>
  <si>
    <t>Fuel Carbon Fraction</t>
  </si>
  <si>
    <t>Fraction of fuel that is carbonaceous</t>
  </si>
  <si>
    <t>Na (mg/3)</t>
  </si>
  <si>
    <t>Mg (mg/3)</t>
  </si>
  <si>
    <t>Al (mg/3)</t>
  </si>
  <si>
    <t>Si (mg/3)</t>
  </si>
  <si>
    <t>P (mg/3)</t>
  </si>
  <si>
    <t>S (mg/3)</t>
  </si>
  <si>
    <t>Cl (mg/3)</t>
  </si>
  <si>
    <t>K (mg/3)</t>
  </si>
  <si>
    <t>Ca (mg/3)</t>
  </si>
  <si>
    <t>Ti  (mg/3)</t>
  </si>
  <si>
    <t>V  (mg/3)</t>
  </si>
  <si>
    <t>Cr  (mg/3)</t>
  </si>
  <si>
    <t>Mn  (mg/3)</t>
  </si>
  <si>
    <t>Fe (mg/3)</t>
  </si>
  <si>
    <t>Co (mg/3)</t>
  </si>
  <si>
    <t>Ni (mg/3)</t>
  </si>
  <si>
    <t>Cu (mg/3)</t>
  </si>
  <si>
    <t>Zn (mg/3)</t>
  </si>
  <si>
    <t>Ga (mg/3)</t>
  </si>
  <si>
    <t>Ge (mg/3)</t>
  </si>
  <si>
    <t>As (mg/3)</t>
  </si>
  <si>
    <t>Se (mg/3)</t>
  </si>
  <si>
    <t>Br (mg/3)</t>
  </si>
  <si>
    <t>Rb (mg/3)</t>
  </si>
  <si>
    <t>Sr (mg/3)</t>
  </si>
  <si>
    <t>Y (mg/3)</t>
  </si>
  <si>
    <t>Zr (mg/3)</t>
  </si>
  <si>
    <t>Mo (mg/3)</t>
  </si>
  <si>
    <t>Pd (mg/3)</t>
  </si>
  <si>
    <t>Ag (mg/3)</t>
  </si>
  <si>
    <t>Cd (mg/3)</t>
  </si>
  <si>
    <t>In (mg/3)</t>
  </si>
  <si>
    <t>Sn (mg/3)</t>
  </si>
  <si>
    <t>Sb (mg/3)</t>
  </si>
  <si>
    <t>Ba (mg/3)</t>
  </si>
  <si>
    <t>La (mg/3)</t>
  </si>
  <si>
    <t>Hg (mg/3)</t>
  </si>
  <si>
    <t>Pb (mg/3)</t>
  </si>
  <si>
    <t>OC cor (mg/m3)</t>
  </si>
  <si>
    <t>EC cor (mg/m3)</t>
  </si>
  <si>
    <t>TC cor (mg/m3)</t>
  </si>
  <si>
    <t>PM - bck (mg/m3)</t>
  </si>
  <si>
    <t>Na - bck (mg/3)</t>
  </si>
  <si>
    <t>Mg - bck (mg/3)</t>
  </si>
  <si>
    <t>Al - bck (mg/3)</t>
  </si>
  <si>
    <t>Si - bck (mg/3)</t>
  </si>
  <si>
    <t>P - bck (mg/3)</t>
  </si>
  <si>
    <t>S - bck (mg/3)</t>
  </si>
  <si>
    <t>Cl - bck (mg/3)</t>
  </si>
  <si>
    <t>K - bck (mg/3)</t>
  </si>
  <si>
    <t>Ca - bck (mg/3)</t>
  </si>
  <si>
    <t>Ti  - bck (mg/3)</t>
  </si>
  <si>
    <t>V  - bck (mg/3)</t>
  </si>
  <si>
    <t>Cr  - bck (mg/3)</t>
  </si>
  <si>
    <t>Mn  - bck (mg/3)</t>
  </si>
  <si>
    <t>Fe - bck (mg/3)</t>
  </si>
  <si>
    <t>Co - bck (mg/3)</t>
  </si>
  <si>
    <t>Ni - bck (mg/3)</t>
  </si>
  <si>
    <t>Cu - bck (mg/3)</t>
  </si>
  <si>
    <t>Zn - bck (mg/3)</t>
  </si>
  <si>
    <t>Ga - bck (mg/3)</t>
  </si>
  <si>
    <t>Ge - bck (mg/3)</t>
  </si>
  <si>
    <t>As - bck (mg/3)</t>
  </si>
  <si>
    <t>Se - bck (mg/3)</t>
  </si>
  <si>
    <t>Br - bck (mg/3)</t>
  </si>
  <si>
    <t>Rb - bck (mg/3)</t>
  </si>
  <si>
    <t>Sr - bck (mg/3)</t>
  </si>
  <si>
    <t>Y - bck (mg/3)</t>
  </si>
  <si>
    <t>Zr - bck (mg/3)</t>
  </si>
  <si>
    <t>Mo - bck (mg/3)</t>
  </si>
  <si>
    <t>Pd - bck (mg/3)</t>
  </si>
  <si>
    <t>Ag - bck (mg/3)</t>
  </si>
  <si>
    <t>Cd - bck (mg/3)</t>
  </si>
  <si>
    <t>In - bck (mg/3)</t>
  </si>
  <si>
    <t>Sn - bck (mg/3)</t>
  </si>
  <si>
    <t>Sb - bck (mg/3)</t>
  </si>
  <si>
    <t>Ba - bck (mg/3)</t>
  </si>
  <si>
    <t>La - bck (mg/3)</t>
  </si>
  <si>
    <t>Hg - bck (mg/3)</t>
  </si>
  <si>
    <t>Pb - bck (mg/3)</t>
  </si>
  <si>
    <t>OC cor-bck (mg/m3)</t>
  </si>
  <si>
    <t>EC cor-bck (mg/m3)</t>
  </si>
  <si>
    <t>Teflon PM (mg/m3)</t>
  </si>
  <si>
    <t>Notes</t>
  </si>
  <si>
    <t>20210415-BKG</t>
  </si>
  <si>
    <t>TF4721001</t>
  </si>
  <si>
    <t>20210422-K</t>
  </si>
  <si>
    <t>TF4721004</t>
  </si>
  <si>
    <t>20210422-HF</t>
  </si>
  <si>
    <t>TF4721005</t>
  </si>
  <si>
    <t>20210426-K</t>
  </si>
  <si>
    <t>TF4721007</t>
  </si>
  <si>
    <t>20210426-HF</t>
  </si>
  <si>
    <t>TF4721006</t>
  </si>
  <si>
    <t>20210427-K</t>
  </si>
  <si>
    <t>TF4721009</t>
  </si>
  <si>
    <t>20210427-LF</t>
  </si>
  <si>
    <t>TF4721008</t>
  </si>
  <si>
    <t>20210428-K</t>
  </si>
  <si>
    <t>TF4721010</t>
  </si>
  <si>
    <t>20210428-LF</t>
  </si>
  <si>
    <t>TF4721011</t>
  </si>
  <si>
    <t>20210429-K</t>
  </si>
  <si>
    <t>TF4721012</t>
  </si>
  <si>
    <t>20210429-LF</t>
  </si>
  <si>
    <t>TF4721013</t>
  </si>
  <si>
    <t>20210510-K</t>
  </si>
  <si>
    <t>TF4721014</t>
  </si>
  <si>
    <t>20210510-HF</t>
  </si>
  <si>
    <t>TF4721015</t>
  </si>
  <si>
    <t>20210520-K</t>
  </si>
  <si>
    <t>TF4721017</t>
  </si>
  <si>
    <t>Sum is greater than Teflon mass</t>
  </si>
  <si>
    <t>20210520-HF</t>
  </si>
  <si>
    <t>TF4721018</t>
  </si>
  <si>
    <t>20210525-K</t>
  </si>
  <si>
    <t>TF4721021</t>
  </si>
  <si>
    <t>20210525-LF</t>
  </si>
  <si>
    <t>TF4721022</t>
  </si>
  <si>
    <t>20210526-K</t>
  </si>
  <si>
    <t>TF4721024</t>
  </si>
  <si>
    <t>20210526-LF</t>
  </si>
  <si>
    <t>TF4721023</t>
  </si>
  <si>
    <t>20210527-K</t>
  </si>
  <si>
    <t>TF4721025</t>
  </si>
  <si>
    <t>20210527-LF</t>
  </si>
  <si>
    <t>TF4721026</t>
  </si>
  <si>
    <t>20210601-K</t>
  </si>
  <si>
    <t>TF4721027</t>
  </si>
  <si>
    <t>20210601-HF</t>
  </si>
  <si>
    <t>TF4721028</t>
  </si>
  <si>
    <t>20210604-BKG</t>
  </si>
  <si>
    <t>TF4721029</t>
  </si>
  <si>
    <t>Blank</t>
  </si>
  <si>
    <t>20210303-BL</t>
  </si>
  <si>
    <t>TF4721030</t>
  </si>
  <si>
    <t>Elements where filter concentration was less than the background concentration</t>
  </si>
  <si>
    <t>Deposit diameter</t>
  </si>
  <si>
    <t xml:space="preserve">cm </t>
  </si>
  <si>
    <t>Deposit area</t>
  </si>
  <si>
    <t>cm2</t>
  </si>
  <si>
    <t>EEPS stopped running at 9:38, shortly before the background started, so limited background average</t>
  </si>
  <si>
    <t>EEPS diameters for each size bin</t>
  </si>
  <si>
    <t>Batch Background Sample Periods</t>
  </si>
  <si>
    <t>BK Princess</t>
  </si>
  <si>
    <t>None</t>
  </si>
  <si>
    <t>Background - Sample</t>
  </si>
  <si>
    <t>6/4/22 &amp; 6/15/22</t>
  </si>
  <si>
    <t>Avg Bckgnd</t>
  </si>
  <si>
    <t>RPD</t>
  </si>
  <si>
    <t>Average</t>
  </si>
  <si>
    <t>SD</t>
  </si>
  <si>
    <t>%V</t>
  </si>
  <si>
    <t xml:space="preserve"> </t>
  </si>
  <si>
    <t>Date</t>
  </si>
  <si>
    <r>
      <t>Temp 6" (</t>
    </r>
    <r>
      <rPr>
        <b/>
        <sz val="11"/>
        <color theme="1"/>
        <rFont val="Calibri"/>
        <family val="2"/>
      </rPr>
      <t>°C)</t>
    </r>
  </si>
  <si>
    <t>Spruce</t>
  </si>
  <si>
    <t>Startup</t>
  </si>
  <si>
    <t>Avg</t>
  </si>
  <si>
    <t>std</t>
  </si>
  <si>
    <t>High</t>
  </si>
  <si>
    <t>Low</t>
  </si>
  <si>
    <t>Birch</t>
  </si>
  <si>
    <t>Averages</t>
  </si>
  <si>
    <t>DR CO2</t>
  </si>
  <si>
    <t>DR CO</t>
  </si>
  <si>
    <t>DR manifold</t>
  </si>
  <si>
    <t>PM 10" Conc. (mg/m3)</t>
  </si>
  <si>
    <t>EC 10" Conc. (mg/m3)</t>
  </si>
  <si>
    <t>OC 10" Conc. (mg/m3)</t>
  </si>
  <si>
    <t>AE33 NaN</t>
  </si>
  <si>
    <t>AE33 AAE</t>
  </si>
  <si>
    <t>MA350 NaN</t>
  </si>
  <si>
    <t>MA350 - AAE</t>
  </si>
  <si>
    <t>Babs 405 (Mm-1)</t>
  </si>
  <si>
    <t>PASS NaN</t>
  </si>
  <si>
    <t>SSA 405</t>
  </si>
  <si>
    <t>SSA 532</t>
  </si>
  <si>
    <t>SSA 781</t>
  </si>
  <si>
    <t>PASS-3 AAE</t>
  </si>
  <si>
    <t>SAE</t>
  </si>
  <si>
    <t>EEPS Dmed (nm)</t>
  </si>
  <si>
    <t>EEPS geo mean</t>
  </si>
  <si>
    <t>EEPS UFP (#/cm3)</t>
  </si>
  <si>
    <t>Background</t>
  </si>
  <si>
    <t>Wet spruce</t>
  </si>
  <si>
    <t>Wet birch</t>
  </si>
  <si>
    <t xml:space="preserve">None </t>
  </si>
  <si>
    <t>Wavelengths</t>
  </si>
  <si>
    <t>Standard Deviations</t>
  </si>
  <si>
    <t>Chimney CO</t>
  </si>
  <si>
    <t>Chimney CO2</t>
  </si>
  <si>
    <t>Chimney O2</t>
  </si>
  <si>
    <t>OK</t>
  </si>
  <si>
    <t>Not working</t>
  </si>
  <si>
    <t>No data</t>
  </si>
  <si>
    <t>Fail (4.6%)</t>
  </si>
  <si>
    <t>Fail Span (9.2%)</t>
  </si>
  <si>
    <t>Fail Zero (55.3%)</t>
  </si>
  <si>
    <t>Fail Zero (50.1%)</t>
  </si>
  <si>
    <t>No Methane</t>
  </si>
  <si>
    <t>10" CO2 (mg/m3)</t>
  </si>
  <si>
    <t>10" CO (mg/m3)</t>
  </si>
  <si>
    <t>10" THC (mg/m3)</t>
  </si>
  <si>
    <t>10" CH4 (mg/m3)</t>
  </si>
  <si>
    <t>10" NOx (mg/m3)</t>
  </si>
  <si>
    <t>10" Carbon (mg/m3)</t>
  </si>
  <si>
    <t>Carbon Balance - CO2 (g/kg)</t>
  </si>
  <si>
    <t>Carbon Balance - CO (g/kg)</t>
  </si>
  <si>
    <t>THC (g/kg)</t>
  </si>
  <si>
    <t>CH4 (g/kg)</t>
  </si>
  <si>
    <t>NOx (g/kg)</t>
  </si>
  <si>
    <t>BC (g/kg)</t>
  </si>
  <si>
    <t>PM (g/kg)</t>
  </si>
  <si>
    <t>OC (g/kg)</t>
  </si>
  <si>
    <t>EC (g/kg)</t>
  </si>
  <si>
    <t>Na (g/kg)</t>
  </si>
  <si>
    <t>Mg (g/kg)</t>
  </si>
  <si>
    <t>Al (g/kg)</t>
  </si>
  <si>
    <t>Si (g/kg)</t>
  </si>
  <si>
    <t>P (g/kg)</t>
  </si>
  <si>
    <t>S (g/kg)</t>
  </si>
  <si>
    <t>Cl (g/kg)</t>
  </si>
  <si>
    <t>K (g/kg)</t>
  </si>
  <si>
    <t>Ca (g/kg)</t>
  </si>
  <si>
    <t>Ti  (g/kg)</t>
  </si>
  <si>
    <t>V  (g/kg)</t>
  </si>
  <si>
    <t>Cr  (g/kg)</t>
  </si>
  <si>
    <t>Mn  (g/kg)</t>
  </si>
  <si>
    <t>Fe (g/kg)</t>
  </si>
  <si>
    <t>Co (g/kg)</t>
  </si>
  <si>
    <t>Ni (g/kg)</t>
  </si>
  <si>
    <t>Cu (g/kg)</t>
  </si>
  <si>
    <t>Zn (g/kg)</t>
  </si>
  <si>
    <t>Ga (g/kg)</t>
  </si>
  <si>
    <t>Ge (g/kg)</t>
  </si>
  <si>
    <t>As (g/kg)</t>
  </si>
  <si>
    <t>Se (g/kg)</t>
  </si>
  <si>
    <t>Br (g/kg)</t>
  </si>
  <si>
    <t>Rb (g/kg)</t>
  </si>
  <si>
    <t>Sr (g/kg)</t>
  </si>
  <si>
    <t>Y (g/kg)</t>
  </si>
  <si>
    <t>Zr (g/kg)</t>
  </si>
  <si>
    <t>Mo (g/kg)</t>
  </si>
  <si>
    <t>Pd (g/kg)</t>
  </si>
  <si>
    <t>Ag (g/kg)</t>
  </si>
  <si>
    <t>Cd (g/kg)</t>
  </si>
  <si>
    <t>In (g/kg)</t>
  </si>
  <si>
    <t>Sn (g/kg)</t>
  </si>
  <si>
    <t>Sb (g/kg)</t>
  </si>
  <si>
    <t>Ba (g/kg)</t>
  </si>
  <si>
    <t>La (g/kg)</t>
  </si>
  <si>
    <t>Hg (g/kg)</t>
  </si>
  <si>
    <t>Pb (g/kg)</t>
  </si>
  <si>
    <t>Spruce Fc wet</t>
  </si>
  <si>
    <t>Spruce Fc dry</t>
  </si>
  <si>
    <t>Birch Fc wet</t>
  </si>
  <si>
    <t>Birch Fc dry</t>
  </si>
  <si>
    <t>SPECIES_ID</t>
  </si>
  <si>
    <t>Teflon</t>
  </si>
  <si>
    <t>XRF</t>
  </si>
  <si>
    <t>Concentrations</t>
  </si>
  <si>
    <t>NIOSH</t>
  </si>
  <si>
    <t>g/kg dry fuel</t>
  </si>
  <si>
    <t>Time</t>
  </si>
  <si>
    <t>Temp (C)</t>
  </si>
  <si>
    <t>Modified Combustion Efficiency (ppm)</t>
  </si>
  <si>
    <t>CO2 (ppm)</t>
  </si>
  <si>
    <t>CO (ppm)</t>
  </si>
  <si>
    <t>THC (ppm)</t>
  </si>
  <si>
    <t>PM2.5 (mg/m3)</t>
  </si>
  <si>
    <t>OC (mg/m3)</t>
  </si>
  <si>
    <t>PM2.5 average (g/kg dry fuel)</t>
  </si>
  <si>
    <t>OC</t>
  </si>
  <si>
    <t xml:space="preserve">EC </t>
  </si>
  <si>
    <t>Na</t>
  </si>
  <si>
    <t>Mg</t>
  </si>
  <si>
    <t>Al</t>
  </si>
  <si>
    <t>Si</t>
  </si>
  <si>
    <t>P</t>
  </si>
  <si>
    <t>S</t>
  </si>
  <si>
    <t>Cl</t>
  </si>
  <si>
    <t>K</t>
  </si>
  <si>
    <t>Ca</t>
  </si>
  <si>
    <t>Ti</t>
  </si>
  <si>
    <t>V</t>
  </si>
  <si>
    <t>Cr</t>
  </si>
  <si>
    <t>Mn</t>
  </si>
  <si>
    <t>Fe</t>
  </si>
  <si>
    <t>Co</t>
  </si>
  <si>
    <t>Ni</t>
  </si>
  <si>
    <t>Cu</t>
  </si>
  <si>
    <t>Zn</t>
  </si>
  <si>
    <t>Ga</t>
  </si>
  <si>
    <t>Ge</t>
  </si>
  <si>
    <t>As</t>
  </si>
  <si>
    <t>Se</t>
  </si>
  <si>
    <t>Br</t>
  </si>
  <si>
    <t>Rb</t>
  </si>
  <si>
    <t>Sr</t>
  </si>
  <si>
    <t>Y</t>
  </si>
  <si>
    <t>Zr</t>
  </si>
  <si>
    <t>Mo</t>
  </si>
  <si>
    <t>Pd</t>
  </si>
  <si>
    <t>Ag</t>
  </si>
  <si>
    <t>Cd</t>
  </si>
  <si>
    <t>In</t>
  </si>
  <si>
    <t>Sn</t>
  </si>
  <si>
    <t>Sb</t>
  </si>
  <si>
    <t>Ba</t>
  </si>
  <si>
    <t>La</t>
  </si>
  <si>
    <t>Hg</t>
  </si>
  <si>
    <t>Pb</t>
  </si>
  <si>
    <t>Wet spruce Startup</t>
  </si>
  <si>
    <t>Wet spruce High</t>
  </si>
  <si>
    <t>Wet spruce Low</t>
  </si>
  <si>
    <t>Wet birch Startup</t>
  </si>
  <si>
    <t>Wet birch High</t>
  </si>
  <si>
    <t>Wet birch Low</t>
  </si>
  <si>
    <t>PNCOM/OC</t>
  </si>
  <si>
    <t>OM/OC</t>
  </si>
  <si>
    <t xml:space="preserve">Temperature (C) </t>
  </si>
  <si>
    <t>PM2.5 (ug/m3)</t>
  </si>
  <si>
    <t>OC (ug/m3)</t>
  </si>
  <si>
    <t>PM2.5 (g/kg dry fuel)</t>
  </si>
  <si>
    <t>Wood Type</t>
  </si>
  <si>
    <t>Burn Phase</t>
  </si>
  <si>
    <t>ANALYTICAL_METHOD</t>
  </si>
  <si>
    <t>Oxy/Metal</t>
  </si>
  <si>
    <t>SPECIES NAME</t>
  </si>
  <si>
    <t>POC</t>
  </si>
  <si>
    <t>PEC</t>
  </si>
  <si>
    <t>Inferred</t>
  </si>
  <si>
    <t>PSO4</t>
  </si>
  <si>
    <t>PNO3</t>
  </si>
  <si>
    <t>PNH4</t>
  </si>
  <si>
    <t>PNCOM</t>
  </si>
  <si>
    <t>PFE</t>
  </si>
  <si>
    <t>PAL</t>
  </si>
  <si>
    <t>PSI</t>
  </si>
  <si>
    <t>PTI</t>
  </si>
  <si>
    <t>PCA</t>
  </si>
  <si>
    <t>PMG</t>
  </si>
  <si>
    <t>PK</t>
  </si>
  <si>
    <t>PMN</t>
  </si>
  <si>
    <t>PNA</t>
  </si>
  <si>
    <t>PCL</t>
  </si>
  <si>
    <t>PH2O</t>
  </si>
  <si>
    <t>POCP2</t>
  </si>
  <si>
    <t>POCP1</t>
  </si>
  <si>
    <t>POCP0</t>
  </si>
  <si>
    <t>POCN1</t>
  </si>
  <si>
    <t>POCN2</t>
  </si>
  <si>
    <t>PNCOMP2</t>
  </si>
  <si>
    <t>PNCOMP1</t>
  </si>
  <si>
    <t>PNCOMP0</t>
  </si>
  <si>
    <t>PNCOMN1</t>
  </si>
  <si>
    <t>PNCOMN2</t>
  </si>
  <si>
    <t>ROCN1ARO</t>
  </si>
  <si>
    <t>ROCP0ARO</t>
  </si>
  <si>
    <t>ROCP1ARO</t>
  </si>
  <si>
    <t>ROCP2ARO</t>
  </si>
  <si>
    <t>ROCN2PAH</t>
  </si>
  <si>
    <t>ROCN1PAH</t>
  </si>
  <si>
    <t>ROCP0PAH</t>
  </si>
  <si>
    <t>ROCP1PAH</t>
  </si>
  <si>
    <t>ROCP2PAH</t>
  </si>
  <si>
    <t>ROCN2SULF</t>
  </si>
  <si>
    <t>ROCN1SULF</t>
  </si>
  <si>
    <t>ROCP0SULF</t>
  </si>
  <si>
    <t>ROCP1SULF</t>
  </si>
  <si>
    <t>ROCP2SULF</t>
  </si>
  <si>
    <t>ROCN2OXY</t>
  </si>
  <si>
    <t>ROCN1OXY</t>
  </si>
  <si>
    <t>ROCP0OXY</t>
  </si>
  <si>
    <t>ROCP1OXY</t>
  </si>
  <si>
    <t>ROCP2OXY</t>
  </si>
  <si>
    <t>ROCN2CYC</t>
  </si>
  <si>
    <t>ROCN1CYC</t>
  </si>
  <si>
    <t>ROCP0CYC</t>
  </si>
  <si>
    <t>ROCP1CYC</t>
  </si>
  <si>
    <t>ROCP2CYC</t>
  </si>
  <si>
    <t>ROCN2BRN</t>
  </si>
  <si>
    <t>ROCN1BRN</t>
  </si>
  <si>
    <t>ROCP0BRN</t>
  </si>
  <si>
    <t>ROCP1BRN</t>
  </si>
  <si>
    <t>ROCP2BRN</t>
  </si>
  <si>
    <t>ROCN2ALK</t>
  </si>
  <si>
    <t>ROCN1ALK</t>
  </si>
  <si>
    <t>ROCP0ALK</t>
  </si>
  <si>
    <t>ROCP1ALK</t>
  </si>
  <si>
    <t>ROCP2ALK</t>
  </si>
  <si>
    <t>Ce</t>
  </si>
  <si>
    <t>MO</t>
  </si>
  <si>
    <t>PMOTHR</t>
  </si>
  <si>
    <t>Neutralized SO4 = 0 b/c NH4 = 0  --&gt; Non-Neutralized SO4 = SO4</t>
  </si>
  <si>
    <t>OC/PNCOM Scalar</t>
  </si>
  <si>
    <t>**PM2.5 total calculated as summation of individual species for 20210520-HF</t>
  </si>
  <si>
    <t>PROFILE_CODE</t>
  </si>
  <si>
    <t>PROFILE_NAME</t>
  </si>
  <si>
    <t>Catalytic Woodstove Low Burn Rate Birch</t>
  </si>
  <si>
    <t>Catalytic Woodstove Low Burn Rate Spruce</t>
  </si>
  <si>
    <t>Catalytic Woodstove High Burn Rate Birch</t>
  </si>
  <si>
    <t>Catalytic Woodstove High Burn Rate Spruce</t>
  </si>
  <si>
    <t>Catalytic Woodstove Startup Birch</t>
  </si>
  <si>
    <t>Catalytic Woodstove Startup Spruce</t>
  </si>
  <si>
    <t>Catalytic Woodstove Low Burn Rate Wood Composite</t>
  </si>
  <si>
    <t>Catalytic Woodstove High Burn Rate Wood Composite</t>
  </si>
  <si>
    <t>Catalytic Woodstove Startup Wood Composite</t>
  </si>
  <si>
    <t>Catalytic Woodstove Burn Phase Composite Birch</t>
  </si>
  <si>
    <t>Catalytic Woodstove Burn Phase Composite Spruce</t>
  </si>
  <si>
    <t>Catalytic Woodstove Burn Phase and Wood Composite</t>
  </si>
  <si>
    <t>Composite</t>
  </si>
  <si>
    <t>Cat stove PM profiles based on ORD testing of the Blaze King Princess Catalytic Wood Stove. (RWC_Princess_2021_SpeciatedEFs_20220818.xlsx)</t>
  </si>
  <si>
    <r>
      <t>1.</t>
    </r>
    <r>
      <rPr>
        <sz val="7"/>
        <color theme="1"/>
        <rFont val="Times New Roman"/>
        <family val="1"/>
      </rPr>
      <t xml:space="preserve">     </t>
    </r>
    <r>
      <rPr>
        <sz val="14"/>
        <color theme="1"/>
        <rFont val="Calibri"/>
        <family val="2"/>
        <scheme val="minor"/>
      </rPr>
      <t>Catalytic Wood Stove-Low burn rate-birch (average all low birch runs)</t>
    </r>
  </si>
  <si>
    <r>
      <t>2.</t>
    </r>
    <r>
      <rPr>
        <sz val="7"/>
        <color theme="1"/>
        <rFont val="Times New Roman"/>
        <family val="1"/>
      </rPr>
      <t xml:space="preserve">     </t>
    </r>
    <r>
      <rPr>
        <sz val="14"/>
        <color theme="1"/>
        <rFont val="Calibri"/>
        <family val="2"/>
        <scheme val="minor"/>
      </rPr>
      <t>Catalytic Wood Stove-Low burn rate-spruce (average all low spruce runs)</t>
    </r>
  </si>
  <si>
    <r>
      <t>3.</t>
    </r>
    <r>
      <rPr>
        <sz val="7"/>
        <color theme="1"/>
        <rFont val="Times New Roman"/>
        <family val="1"/>
      </rPr>
      <t xml:space="preserve">     </t>
    </r>
    <r>
      <rPr>
        <sz val="14"/>
        <color theme="1"/>
        <rFont val="Calibri"/>
        <family val="2"/>
        <scheme val="minor"/>
      </rPr>
      <t>Catalytic Wood Stove-High burn rate-birch (average all high birch runs)</t>
    </r>
  </si>
  <si>
    <r>
      <t>4.</t>
    </r>
    <r>
      <rPr>
        <sz val="7"/>
        <color theme="1"/>
        <rFont val="Times New Roman"/>
        <family val="1"/>
      </rPr>
      <t xml:space="preserve">     </t>
    </r>
    <r>
      <rPr>
        <sz val="14"/>
        <color theme="1"/>
        <rFont val="Calibri"/>
        <family val="2"/>
        <scheme val="minor"/>
      </rPr>
      <t>Catalytic Wood Stove-High burn rate-spruce (average all high spruce runs)</t>
    </r>
  </si>
  <si>
    <r>
      <t>5.</t>
    </r>
    <r>
      <rPr>
        <sz val="7"/>
        <color theme="1"/>
        <rFont val="Times New Roman"/>
        <family val="1"/>
      </rPr>
      <t xml:space="preserve">     </t>
    </r>
    <r>
      <rPr>
        <sz val="14"/>
        <color theme="1"/>
        <rFont val="Calibri"/>
        <family val="2"/>
        <scheme val="minor"/>
      </rPr>
      <t>Catalytic Wood Stove-cold start-birch (average all startup birch runs)</t>
    </r>
  </si>
  <si>
    <t>Renormalizing between Birch and Spruce, the weighting is: 58% birch and 42% spruce</t>
  </si>
  <si>
    <r>
      <t>6.</t>
    </r>
    <r>
      <rPr>
        <sz val="7"/>
        <color theme="1"/>
        <rFont val="Times New Roman"/>
        <family val="1"/>
      </rPr>
      <t xml:space="preserve">     </t>
    </r>
    <r>
      <rPr>
        <sz val="14"/>
        <color theme="1"/>
        <rFont val="Calibri"/>
        <family val="2"/>
        <scheme val="minor"/>
      </rPr>
      <t>Catalytic Wood Stove-cold start-spruce (average all startup spruce runs)</t>
    </r>
  </si>
  <si>
    <t>Weighting of burn phases (5% startup; 60% low/medium; 35% high)</t>
  </si>
  <si>
    <r>
      <t>7.</t>
    </r>
    <r>
      <rPr>
        <sz val="7"/>
        <color theme="1"/>
        <rFont val="Times New Roman"/>
        <family val="1"/>
      </rPr>
      <t xml:space="preserve">     </t>
    </r>
    <r>
      <rPr>
        <sz val="14"/>
        <color theme="1"/>
        <rFont val="Calibri"/>
        <family val="2"/>
        <scheme val="minor"/>
      </rPr>
      <t>Catalytic Wood Stove-cold start-composite-birch+spruce (5&amp; 6  – use tree species weightings below)</t>
    </r>
  </si>
  <si>
    <r>
      <t>8.</t>
    </r>
    <r>
      <rPr>
        <sz val="7"/>
        <color theme="1"/>
        <rFont val="Times New Roman"/>
        <family val="1"/>
      </rPr>
      <t xml:space="preserve">     </t>
    </r>
    <r>
      <rPr>
        <sz val="14"/>
        <color theme="1"/>
        <rFont val="Calibri"/>
        <family val="2"/>
        <scheme val="minor"/>
      </rPr>
      <t>Catalytic Wood Stove-Low burn rate-composite (1&amp;2 – use tree species weightings below)</t>
    </r>
  </si>
  <si>
    <r>
      <t>9.</t>
    </r>
    <r>
      <rPr>
        <sz val="7"/>
        <color theme="1"/>
        <rFont val="Times New Roman"/>
        <family val="1"/>
      </rPr>
      <t xml:space="preserve">     </t>
    </r>
    <r>
      <rPr>
        <sz val="14"/>
        <color theme="1"/>
        <rFont val="Calibri"/>
        <family val="2"/>
        <scheme val="minor"/>
      </rPr>
      <t>Catalytic Wood Stove-High burn rate-composite(3&amp;4 – use tree species weightings below)</t>
    </r>
  </si>
  <si>
    <t>10.Catalytic Wood Stove-birch-composite (composite startup, low, high, method use weightings below)</t>
  </si>
  <si>
    <t>11.Catalytic Wood Stove-spruce-composite (composite startup, low, high, method use weightings below)</t>
  </si>
  <si>
    <t>12.Catalytic Wood Stove-composite-birch+spruce (10&amp;11 use tree species weightings below)</t>
  </si>
  <si>
    <t>These data were developed by Amara Holder, EPA/ORD from laboratory dilution tunnel sampling in EPA/ORD’s wood stove lab, using teflon-coated filters using a modified ASTM 3053 protocol,   These data have not been published, but have been cleared by ORD management to be shared with the SPECIATE and NEI teams. Amara indicated she plans to publish this work within the next 1 – 2 years.</t>
  </si>
  <si>
    <t>-----------------------------------------------------------------------</t>
  </si>
  <si>
    <r>
      <t>1.</t>
    </r>
    <r>
      <rPr>
        <sz val="7"/>
        <color theme="1"/>
        <rFont val="Times New Roman"/>
        <family val="1"/>
      </rPr>
      <t xml:space="preserve">     </t>
    </r>
    <r>
      <rPr>
        <sz val="14"/>
        <color theme="1"/>
        <rFont val="Calibri"/>
        <family val="2"/>
        <scheme val="minor"/>
      </rPr>
      <t>Tree Species Weightings(</t>
    </r>
    <r>
      <rPr>
        <b/>
        <sz val="14"/>
        <color theme="1"/>
        <rFont val="Calibri"/>
        <family val="2"/>
        <scheme val="minor"/>
      </rPr>
      <t xml:space="preserve">58% birch and 42% spruce) </t>
    </r>
    <r>
      <rPr>
        <sz val="14"/>
        <color theme="1"/>
        <rFont val="Calibri"/>
        <family val="2"/>
        <scheme val="minor"/>
      </rPr>
      <t>as described below:</t>
    </r>
  </si>
  <si>
    <t>The following information was provided by Holder, Amara holder.amara@epa.gov in her email of Thu 3/23/2023 2:33 PM to Strum, Madeleine &lt;Strum.Madeleine@epa.gov&gt;; Diem, Art &lt;Diem.Art@epa.gov&gt;; Rao, Venkatesh &lt;Rao.Venkatesh@epa.gov&gt;; Seltzer, Karl &lt;Seltzer.Karl@epa.gov&gt;; Pouliot, George &lt;Pouliot.George@epa.gov&gt;; Murphy, Benjamin (he/him/his) &lt;Murphy.Benjamin@epa.gov&gt;</t>
  </si>
  <si>
    <t>As for the type of wood to use, I also looked at the Fairbanks SIP to see what the results of their wood survey was. Here is what is listed in one of the Appendices:</t>
  </si>
  <si>
    <t>https://dec.alaska.gov/air/anpms/communities/fbks-pm2-5-serious-sip/</t>
  </si>
  <si>
    <t>Appendix III.D.7.6 Emissions Inventory Data Amended and Adopted  (p83)</t>
  </si>
  <si>
    <r>
      <t xml:space="preserve">Wood Species Mix </t>
    </r>
    <r>
      <rPr>
        <sz val="11.5"/>
        <color rgb="FF000000"/>
        <rFont val="Times New Roman"/>
        <family val="1"/>
      </rPr>
      <t xml:space="preserve">– Finally, responses were also tabulated from the question asking homeowners to identify the predominant species of firewood they burned. Out of a total of 191 valid responses, the ZIP code Census-weighted composite fractions (by volume) were as follows: </t>
    </r>
  </si>
  <si>
    <t xml:space="preserve"> Birch (paper birch) – 46.4%; </t>
  </si>
  <si>
    <t xml:space="preserve"> Spruce (white spruce) – 34.1%; and </t>
  </si>
  <si>
    <t xml:space="preserve"> “Aspen” (black/white poplar) – 18.5%. </t>
  </si>
  <si>
    <r>
      <t>2.</t>
    </r>
    <r>
      <rPr>
        <b/>
        <sz val="7"/>
        <color theme="1"/>
        <rFont val="Times New Roman"/>
        <family val="1"/>
      </rPr>
      <t xml:space="preserve">     </t>
    </r>
    <r>
      <rPr>
        <b/>
        <sz val="14"/>
        <color theme="1"/>
        <rFont val="Calibri"/>
        <family val="2"/>
        <scheme val="minor"/>
      </rPr>
      <t>Weighting of burn phases (5% startup; 60% low/medium; 35% high)</t>
    </r>
  </si>
  <si>
    <t>Several considerations went into the weighting including how much time was spent on each phase during the ORD testing, what other methods like “BeReal” and the Integrated Duty Cycle provide and the 3 sources of information described below.</t>
  </si>
  <si>
    <t>The attached email chain walks through these considerations and the 3 sources of information are summarized below.</t>
  </si>
  <si>
    <t>Ultimately the following was chosen for the weighting:</t>
  </si>
  <si>
    <t>5% Startup</t>
  </si>
  <si>
    <t>60% Low/medium</t>
  </si>
  <si>
    <t>Remainder High</t>
  </si>
  <si>
    <t>Three  sources  of information were consulted to determine how best to weight the cold start, low and high burn phase EFs and speciation data.</t>
  </si>
  <si>
    <r>
      <t>1)</t>
    </r>
    <r>
      <rPr>
        <sz val="7"/>
        <color theme="1"/>
        <rFont val="Times New Roman"/>
        <family val="1"/>
      </rPr>
      <t xml:space="preserve">      </t>
    </r>
    <r>
      <rPr>
        <sz val="11"/>
        <color theme="1"/>
        <rFont val="Calibri"/>
        <family val="2"/>
        <scheme val="minor"/>
      </rPr>
      <t>Integrated Duty cycle method paper –</t>
    </r>
  </si>
  <si>
    <t>Barbara Morin, Mahdi Ahmadi, Lisa Rector &amp; George Allen (2022) Development of an integrated duty cycle test method to assess cordwood stove performance, Journal of the Air &amp; Waste Management Association, 72:7, 629-646, DOI: 10.1080/10962247.2022.2057615</t>
  </si>
  <si>
    <r>
      <t xml:space="preserve">Table 8. </t>
    </r>
    <r>
      <rPr>
        <sz val="9.5"/>
        <color rgb="FF000000"/>
        <rFont val="MyriadPro-SemiCn"/>
      </rPr>
      <t>Impact of startup phase on total PM emissions and PM ER in stoves with lowest and highest emission rates: mean and [range]</t>
    </r>
  </si>
  <si>
    <t>The startup emissions as a percent of total emissions are: 28% for stoves with the lowest emission rates and 7% for stoves with highest emission rates.</t>
  </si>
  <si>
    <t>While the IDC protocol includes various phases of stove use, the amount of time/proportion of emissions may not necessarily represent the real world user operation. “The research focused on developing a protocol that would (1) characterize variability with greater precision than current methods; (2) capture a range of representative operations, including start-up, reload periods, and a variety of heat loads; (3) include a PM measurement approach that provides information to manufacturers that can be used to improve design to minimize emissions; (4) create better measures of efficiency; and (5) reduce the time required to conduct certification tests.”</t>
  </si>
  <si>
    <t>Although representativeness is listed, there was no analysis in the report about how much time a stove is typically in startup, which I should note in our test data is a ‘cold-start’ since it is emissions from starting the phase with a cold stove.</t>
  </si>
  <si>
    <r>
      <t>2)</t>
    </r>
    <r>
      <rPr>
        <sz val="7"/>
        <color theme="1"/>
        <rFont val="Times New Roman"/>
        <family val="1"/>
      </rPr>
      <t xml:space="preserve">     </t>
    </r>
    <r>
      <rPr>
        <sz val="14"/>
        <color theme="1"/>
        <rFont val="Calibri"/>
        <family val="2"/>
        <scheme val="minor"/>
      </rPr>
      <t>A study using chimney thermocouples in homes to understand real-world use</t>
    </r>
  </si>
  <si>
    <t>Mahdi Ahmadi, Josh Minot, George Allen &amp; Lisa Rector (2020) Investigation of real-life operating patterns of wood-burning appliances using stack temperature data, Journal of the Air &amp; Waste Management Association, 70:4, 393-409, DOI: 10.1080/10962247.2020.1726838</t>
  </si>
  <si>
    <t>Twenty residential indoor wood stoves, eleven in St. Lawrence County, NYS and nine in Spokane County, WA, participated in the study. All were located in the primary residence of the homeowner. Monitoring of all NYS IWS units was conducted for 30–47 days between January 14, 2015 and February 27, 2015 (the 2015 heating season). Five of the NYS IWS units were also monitored for 80–203 days during the following (2016) heating season, beginning in mid-December 2015 at four of those locations and in mid-September 2015 at the fifth. All of the WA IWSs were monitored from January 25, 2015 to April 27, 2015. 2 presents details of the studied IWSs and associated data acquisition periods.</t>
  </si>
  <si>
    <r>
      <t xml:space="preserve">The supplemental information was used to estimate the amount of time in cold start over a month.  </t>
    </r>
    <r>
      <rPr>
        <sz val="11"/>
        <color theme="1"/>
        <rFont val="Calibri"/>
        <family val="2"/>
        <scheme val="minor"/>
      </rPr>
      <t>For their entire data set spanning Jan – Mar 2015 and Dec – Mar 2016 in NYS and WA average amount of time spent per month in cold-start conditions (assuming a 30 minute cold-start duration) is 0.1%.</t>
    </r>
  </si>
  <si>
    <t>https://www.tandfonline.com/doi/full/10.1080/10962247.2020.1726838</t>
  </si>
  <si>
    <t>Typical Start up duration</t>
  </si>
  <si>
    <t>Table S-3</t>
  </si>
  <si>
    <t>Active</t>
  </si>
  <si>
    <t>Inactive</t>
  </si>
  <si>
    <t>Not in Use</t>
  </si>
  <si>
    <t>Warm Starts</t>
  </si>
  <si>
    <t>Cold-Starts per week</t>
  </si>
  <si>
    <t>Cold Start Hours per week</t>
  </si>
  <si>
    <t>Weeks per month</t>
  </si>
  <si>
    <t>Cold Start Hours Per Month</t>
  </si>
  <si>
    <t>Total Hours per Month</t>
  </si>
  <si>
    <t>% Month in Cold Start</t>
  </si>
  <si>
    <t>Table S-4</t>
  </si>
  <si>
    <t>Table S-5</t>
  </si>
  <si>
    <t>Table S-6</t>
  </si>
  <si>
    <t>Table S-7</t>
  </si>
  <si>
    <t>Table S-8</t>
  </si>
  <si>
    <t>Table S-9</t>
  </si>
  <si>
    <t>avg</t>
  </si>
  <si>
    <t>sd</t>
  </si>
  <si>
    <t>median</t>
  </si>
  <si>
    <r>
      <t>3)</t>
    </r>
    <r>
      <rPr>
        <sz val="7"/>
        <color theme="1"/>
        <rFont val="Times New Roman"/>
        <family val="1"/>
      </rPr>
      <t xml:space="preserve">      </t>
    </r>
    <r>
      <rPr>
        <sz val="11"/>
        <color theme="1"/>
        <rFont val="Calibri"/>
        <family val="2"/>
        <scheme val="minor"/>
      </rPr>
      <t>A survey conducted by the industry – Chris Neufeld (Chris Neufeld CNeufeld@Blazeking.com) email to M. Strum (strum.madeleine@epa.gov) on March 16, 2023 with attachment called “User Contact Names Redacted.pdf)</t>
    </r>
  </si>
  <si>
    <t>One question was about the amount of cold starts:</t>
  </si>
  <si>
    <t>Based on the above, using the heating season responses, the number of cold starts per week may be estimated by</t>
  </si>
  <si>
    <r>
      <t xml:space="preserve">31%*1.5*7  + 34%*4  + 36%*0= 4.6 times a week so that would be 4.6 times per week * </t>
    </r>
    <r>
      <rPr>
        <sz val="11"/>
        <color rgb="FF000000"/>
        <rFont val="Calibri"/>
        <family val="2"/>
        <scheme val="minor"/>
      </rPr>
      <t xml:space="preserve">4.428571 weeks per month = 20.4 times per month. At 0.5 hours per start it would be 10.2 hours per month which would be 10.2/720 = 1.4% </t>
    </r>
  </si>
  <si>
    <t>That is a time-based weighting and if we were to convert that to an emissions-based weighting using the emission factor differences using the EFs it may go 3-4 times higher (since the cold start EFs are about 3-4 times the other phases) – so 4 or 5 % instead of 1.4%</t>
  </si>
  <si>
    <t>In addition the survey question 38 is:</t>
  </si>
  <si>
    <t>Summing the “between 5 and 10” and “more than 10” percentages for Low and High and ratioing them – so low -to- high ratio  is (25+23)/(13+8) or 2.2:1 so low would be 2.2/(2.2+1) *0.95 = 64%  and high = 1/(2.2 +1) = 31%</t>
  </si>
  <si>
    <t>Other studies show</t>
  </si>
  <si>
    <t>PROFILE_TYPE</t>
  </si>
  <si>
    <t>MASTER_POLLUTANT</t>
  </si>
  <si>
    <t>QSCORE</t>
  </si>
  <si>
    <t>QSCORE_DESC</t>
  </si>
  <si>
    <t>QUALITY</t>
  </si>
  <si>
    <t>CONTROLS</t>
  </si>
  <si>
    <t>PROFILE_DATE</t>
  </si>
  <si>
    <t>PROFILE_NOTES</t>
  </si>
  <si>
    <t>TOTAL</t>
  </si>
  <si>
    <t>TEST_METHOD</t>
  </si>
  <si>
    <t>NORMALIZATION_BASIS</t>
  </si>
  <si>
    <t>ORIGINAL_COMPOSITE</t>
  </si>
  <si>
    <t>STANDARD</t>
  </si>
  <si>
    <t>INCLUDES_INORGANIC GAS</t>
  </si>
  <si>
    <t>TEST_YEAR</t>
  </si>
  <si>
    <t>JUDGEMENT_RATING</t>
  </si>
  <si>
    <t>VINTAGE_RATING</t>
  </si>
  <si>
    <t>DATA_QUANTITY_RATING</t>
  </si>
  <si>
    <t>REGION</t>
  </si>
  <si>
    <t>SAMPLES</t>
  </si>
  <si>
    <t>LOWER_SIZE</t>
  </si>
  <si>
    <t>UPPER_SIZE</t>
  </si>
  <si>
    <t>SIBLING</t>
  </si>
  <si>
    <t>VERSION</t>
  </si>
  <si>
    <t>TOG_to_VOC RATIO</t>
  </si>
  <si>
    <t>TEMP_SAMPLE_C</t>
  </si>
  <si>
    <t>RH_SAMPLE</t>
  </si>
  <si>
    <t>PARTICLE_LOADING_ug_per_m3</t>
  </si>
  <si>
    <t>ORGANIC_LOADING_ug_per_m3</t>
  </si>
  <si>
    <t>CATEGORY_LEVEL_1_Generation_Mechanism</t>
  </si>
  <si>
    <t>CATEGORY_LEVEL_2_Sector_Equipment</t>
  </si>
  <si>
    <t>CATEGORY_LEVEL_3_ Fuel_Product</t>
  </si>
  <si>
    <t>MASTER_POLLUTANT_EMISSION_RATE</t>
  </si>
  <si>
    <t>MASTER_POLL_EMISSION_RATE_UNIT</t>
  </si>
  <si>
    <t>ORGANIC_MATTER_to_ORGANIC_CARBON_RATIO</t>
  </si>
  <si>
    <t>MASS_OVERAGE_PERCENT</t>
  </si>
  <si>
    <t>CREATED BY</t>
  </si>
  <si>
    <t>CREATED Date</t>
  </si>
  <si>
    <t>MODIFIED BY</t>
  </si>
  <si>
    <t>MODIFIED DATE</t>
  </si>
  <si>
    <t>REVIEWED BY</t>
  </si>
  <si>
    <t>REVIEWED DATE</t>
  </si>
  <si>
    <t>Data_Origin</t>
  </si>
  <si>
    <t>Keywords</t>
  </si>
  <si>
    <t>DOC_LINK</t>
  </si>
  <si>
    <t>Q_LINK</t>
  </si>
  <si>
    <t>PM-AE6</t>
  </si>
  <si>
    <t>PM</t>
  </si>
  <si>
    <t>Excellent</t>
  </si>
  <si>
    <t>Catalyst</t>
  </si>
  <si>
    <t>Composite of 3 experiments where there was a low burn rate using birch wood.</t>
  </si>
  <si>
    <t>Laboratory dilution tunnel sampling in EPA/ORD’s wood stove lab, using teflon-coated filters using a modified ASTM 3053 protocol.</t>
  </si>
  <si>
    <t>Gravimetric Mass</t>
  </si>
  <si>
    <t>SC</t>
  </si>
  <si>
    <t>Combustion</t>
  </si>
  <si>
    <t>Biomass Burning; Residential Wood Combustion; Woodstove</t>
  </si>
  <si>
    <t>Miscellaneous</t>
  </si>
  <si>
    <t>Karl Seltzer</t>
  </si>
  <si>
    <t>EPA</t>
  </si>
  <si>
    <t>Residential Wood Combustion; Inventory speciation</t>
  </si>
  <si>
    <t>Composite of 3 experiments where there was a low burn rate using spruce wood.</t>
  </si>
  <si>
    <t>Composite of 2 experiments where there was a high burn rate using birch wood.</t>
  </si>
  <si>
    <t>Composite of 3 experiments where there was a high burn rate using spruce wood.</t>
  </si>
  <si>
    <t>Composite of 5 experiments during startup using birch wood.</t>
  </si>
  <si>
    <t>Composite of 6 experiments during startup using spruce wood.</t>
  </si>
  <si>
    <t>Composite of 6 experiments where there was a low burn rate</t>
  </si>
  <si>
    <t>Composite of 5 experiments where there was a high burn rate.</t>
  </si>
  <si>
    <t>Composite of 11 experiments during startup.</t>
  </si>
  <si>
    <t>Composite of 10 experiments using birch wood.</t>
  </si>
  <si>
    <t>Composite of 12 experiments using spruce wood.</t>
  </si>
  <si>
    <t>Composite of 22 experiments.</t>
  </si>
  <si>
    <t>WEIGHT_PERCENT</t>
  </si>
  <si>
    <t>INCLUDE_IN_SUM</t>
  </si>
  <si>
    <t>UNCERTAINTY_PERCENT</t>
  </si>
  <si>
    <t>UNCERTAINTY_METHOD</t>
  </si>
  <si>
    <t>PHASE</t>
  </si>
  <si>
    <t>SPECIES_EMISSION_RATE_UNIT</t>
  </si>
  <si>
    <t>Yes</t>
  </si>
  <si>
    <t>N/A</t>
  </si>
  <si>
    <t>TOT</t>
  </si>
  <si>
    <t>REF_Code</t>
  </si>
  <si>
    <t>REFERENCE</t>
  </si>
  <si>
    <t>REF_DESCRIPTION</t>
  </si>
  <si>
    <t>LINK</t>
  </si>
  <si>
    <t>Holder2023</t>
  </si>
  <si>
    <t>Manuscript in preparation</t>
  </si>
  <si>
    <t>These data were developed by Amara Holder, EPA/ORD from laboratory dilution tunnel sampling in EPA/ORD’s wood stove lab, using teflon-coated filters using a modified ASTM 3053 protocol. These data have not been published, but have been cleared by ORD management to be shared with the SPECIATE and NEI teams.</t>
  </si>
  <si>
    <t>Species</t>
  </si>
  <si>
    <t>MW of Metal</t>
  </si>
  <si>
    <t>Oxide Form 1</t>
  </si>
  <si>
    <t>Oxide Form 2</t>
  </si>
  <si>
    <t>Oxide Form 3</t>
  </si>
  <si>
    <t>Oxygen/Metal Ratio</t>
  </si>
  <si>
    <t>SPECIES_NAME</t>
  </si>
  <si>
    <t>Na2O</t>
  </si>
  <si>
    <t/>
  </si>
  <si>
    <t>Sodium</t>
  </si>
  <si>
    <t>Na ion</t>
  </si>
  <si>
    <t>Sodium ion</t>
  </si>
  <si>
    <t>MgO</t>
  </si>
  <si>
    <t>Magnesium</t>
  </si>
  <si>
    <t>Mg ion</t>
  </si>
  <si>
    <t>Magnesium ion</t>
  </si>
  <si>
    <t>Al2O3</t>
  </si>
  <si>
    <t>Aluminum</t>
  </si>
  <si>
    <t>SiO2</t>
  </si>
  <si>
    <t>Silicon</t>
  </si>
  <si>
    <t>P2O3</t>
  </si>
  <si>
    <t>P2O5</t>
  </si>
  <si>
    <t>Phosphorus</t>
  </si>
  <si>
    <t>K2O</t>
  </si>
  <si>
    <t>Potassium</t>
  </si>
  <si>
    <t>K ion</t>
  </si>
  <si>
    <t>Potassium ion</t>
  </si>
  <si>
    <t>CaO</t>
  </si>
  <si>
    <t>Calcium</t>
  </si>
  <si>
    <t>Ca ion</t>
  </si>
  <si>
    <t>Calcium ion</t>
  </si>
  <si>
    <t>TiO2</t>
  </si>
  <si>
    <t>Titanium</t>
  </si>
  <si>
    <t>V2O5</t>
  </si>
  <si>
    <t>Vanadium</t>
  </si>
  <si>
    <t>Cr2O3</t>
  </si>
  <si>
    <t>CrO3</t>
  </si>
  <si>
    <t>Chromium</t>
  </si>
  <si>
    <t>MnO</t>
  </si>
  <si>
    <t>MnO2</t>
  </si>
  <si>
    <t>Mn2O7</t>
  </si>
  <si>
    <t>Manganese</t>
  </si>
  <si>
    <t>FeO</t>
  </si>
  <si>
    <t>Fe2O3</t>
  </si>
  <si>
    <t>Iron</t>
  </si>
  <si>
    <t>CoO</t>
  </si>
  <si>
    <t>Co2O3</t>
  </si>
  <si>
    <t>Cobalt</t>
  </si>
  <si>
    <t>NiO</t>
  </si>
  <si>
    <t>Nickel</t>
  </si>
  <si>
    <t>CuO</t>
  </si>
  <si>
    <t>Copper</t>
  </si>
  <si>
    <t>ZnO</t>
  </si>
  <si>
    <t>Zinc</t>
  </si>
  <si>
    <t>Ga2O3</t>
  </si>
  <si>
    <t>Gallium</t>
  </si>
  <si>
    <t>As2O3</t>
  </si>
  <si>
    <t>As2O5</t>
  </si>
  <si>
    <t>Arsenic</t>
  </si>
  <si>
    <t>SeO</t>
  </si>
  <si>
    <t>SeO2</t>
  </si>
  <si>
    <t>SeO3</t>
  </si>
  <si>
    <t>Selenium</t>
  </si>
  <si>
    <t>Rb2O</t>
  </si>
  <si>
    <t>Rubidium</t>
  </si>
  <si>
    <t>SrO</t>
  </si>
  <si>
    <t>Strontium</t>
  </si>
  <si>
    <t>ZrO2</t>
  </si>
  <si>
    <t>Zirconium</t>
  </si>
  <si>
    <t>MoO2</t>
  </si>
  <si>
    <t>MoO3</t>
  </si>
  <si>
    <t>Molybdenum</t>
  </si>
  <si>
    <t>PdO</t>
  </si>
  <si>
    <t>PdO2</t>
  </si>
  <si>
    <t>Palladium</t>
  </si>
  <si>
    <t>Ag2O</t>
  </si>
  <si>
    <t>Silver</t>
  </si>
  <si>
    <t>CdO</t>
  </si>
  <si>
    <t>Cadmium</t>
  </si>
  <si>
    <t>In2O3</t>
  </si>
  <si>
    <t>Indium</t>
  </si>
  <si>
    <t>SnO</t>
  </si>
  <si>
    <t>SnO2</t>
  </si>
  <si>
    <t>Tin</t>
  </si>
  <si>
    <t>Sb2O3</t>
  </si>
  <si>
    <t>Sb2O5</t>
  </si>
  <si>
    <t>Antimony</t>
  </si>
  <si>
    <t>BaO</t>
  </si>
  <si>
    <t>Barium</t>
  </si>
  <si>
    <t>La2O3</t>
  </si>
  <si>
    <t>Lanthanum</t>
  </si>
  <si>
    <t>Ce2O3</t>
  </si>
  <si>
    <t>CeO2</t>
  </si>
  <si>
    <t>Cerium</t>
  </si>
  <si>
    <t>Hg2O</t>
  </si>
  <si>
    <t>HgO</t>
  </si>
  <si>
    <t>Mercury</t>
  </si>
  <si>
    <t>PbO</t>
  </si>
  <si>
    <t>PbO2</t>
  </si>
  <si>
    <t>Lead</t>
  </si>
  <si>
    <t>https://gaftp.epa.gov/air/emismod/SPECIATE_supportingdata/v5_3/RWC_Princess_2021_SpeciatedEFs_20230629.xlsx</t>
  </si>
  <si>
    <t>https://gaftp.epa.gov/air/emismod/SPECIATE_supportingdata/v5_3/QSCORE 6-29-2023 Catalytic Stove PM profile.docx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</si>
</sst>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0.000"/>
    <numFmt numFmtId="165" formatCode="0.0"/>
    <numFmt numFmtId="166" formatCode="_(* #,##0_);_(* \(#,##0\);_(* &quot;-&quot;??_);_(@_)"/>
    <numFmt numFmtId="167" formatCode="0.0E+00"/>
    <numFmt numFmtId="168" formatCode="0.0000"/>
    <numFmt numFmtId="169" formatCode="m/d/yyyy\ h:mm:ss"/>
    <numFmt numFmtId="170" formatCode="h:mm:ss;@"/>
    <numFmt numFmtId="171" formatCode="0.0%"/>
    <numFmt numFmtId="172" formatCode="0.00000"/>
    <numFmt numFmtId="173" formatCode="0.000000"/>
    <numFmt numFmtId="174" formatCode="0.00E+0"/>
    <numFmt numFmtId="175" formatCode="[$-F400]h:mm:ss\ AM/PM"/>
    <numFmt numFmtId="176" formatCode="0.000%"/>
  </numFmts>
  <fonts count="44">
    <font>
      <sz val="11"/>
      <color theme="1"/>
      <name val="Calibri"/>
      <family val="2"/>
      <scheme val="minor"/>
    </font>
    <font>
      <b/>
      <sz val="11"/>
      <color theme="1"/>
      <name val="Calibri"/>
      <family val="2"/>
      <scheme val="minor"/>
    </font>
    <font>
      <b/>
      <sz val="11"/>
      <color theme="1"/>
      <name val="Calibri"/>
      <family val="2"/>
    </font>
    <font>
      <sz val="11"/>
      <color theme="1"/>
      <name val="Calibri"/>
      <family val="2"/>
      <scheme val="minor"/>
    </font>
    <font>
      <b/>
      <sz val="11"/>
      <color theme="4"/>
      <name val="Calibri"/>
      <family val="2"/>
      <scheme val="minor"/>
    </font>
    <font>
      <sz val="10"/>
      <color indexed="8"/>
      <name val="Calibri"/>
      <family val="2"/>
    </font>
    <font>
      <b/>
      <sz val="11"/>
      <color rgb="FFFF0000"/>
      <name val="Calibri"/>
      <family val="2"/>
      <scheme val="minor"/>
    </font>
    <font>
      <b/>
      <sz val="11"/>
      <color theme="1"/>
      <name val="Calibri"/>
      <family val="1"/>
      <charset val="2"/>
      <scheme val="minor"/>
    </font>
    <font>
      <sz val="11"/>
      <name val="Calibri"/>
      <family val="2"/>
      <scheme val="minor"/>
    </font>
    <font>
      <b/>
      <sz val="11"/>
      <name val="Calibri"/>
      <family val="2"/>
      <scheme val="minor"/>
    </font>
    <font>
      <b/>
      <sz val="11"/>
      <color rgb="FF7030A0"/>
      <name val="Calibri"/>
      <family val="2"/>
      <scheme val="minor"/>
    </font>
    <font>
      <b/>
      <sz val="11"/>
      <color theme="2" tint="-0.499984740745262"/>
      <name val="Calibri"/>
      <family val="2"/>
      <scheme val="minor"/>
    </font>
    <font>
      <b/>
      <sz val="10"/>
      <color theme="2" tint="-0.499984740745262"/>
      <name val="Calibri"/>
      <family val="2"/>
    </font>
    <font>
      <sz val="10"/>
      <color theme="1"/>
      <name val="Times New Roman"/>
      <family val="2"/>
    </font>
    <font>
      <b/>
      <sz val="10"/>
      <color theme="1"/>
      <name val="Calibri"/>
      <family val="2"/>
      <scheme val="minor"/>
    </font>
    <font>
      <sz val="11"/>
      <color theme="1"/>
      <name val="Calibri"/>
      <family val="1"/>
      <charset val="2"/>
      <scheme val="minor"/>
    </font>
    <font>
      <sz val="11"/>
      <color rgb="FF7030A0"/>
      <name val="Calibri"/>
      <family val="2"/>
      <scheme val="minor"/>
    </font>
    <font>
      <sz val="11"/>
      <color rgb="FFFF0000"/>
      <name val="Calibri"/>
      <family val="2"/>
      <scheme val="minor"/>
    </font>
    <font>
      <b/>
      <sz val="10"/>
      <color rgb="FF7030A0"/>
      <name val="Calibri"/>
      <family val="2"/>
    </font>
    <font>
      <sz val="11"/>
      <name val="Calibri"/>
      <family val="2"/>
    </font>
    <font>
      <vertAlign val="superscript"/>
      <sz val="11"/>
      <name val="Calibri"/>
      <family val="2"/>
    </font>
    <font>
      <vertAlign val="superscript"/>
      <sz val="11"/>
      <name val="Calibri"/>
      <family val="2"/>
      <scheme val="minor"/>
    </font>
    <font>
      <b/>
      <sz val="14"/>
      <color rgb="FFFF0000"/>
      <name val="Calibri"/>
      <family val="2"/>
      <scheme val="minor"/>
    </font>
    <font>
      <sz val="10"/>
      <color theme="1"/>
      <name val="Calibri"/>
      <family val="2"/>
      <scheme val="minor"/>
    </font>
    <font>
      <sz val="10"/>
      <color indexed="8"/>
      <name val="Arial"/>
      <family val="2"/>
    </font>
    <font>
      <sz val="11"/>
      <color indexed="8"/>
      <name val="Calibri"/>
      <family val="2"/>
    </font>
    <font>
      <sz val="14"/>
      <color theme="1"/>
      <name val="Calibri"/>
      <family val="2"/>
      <scheme val="minor"/>
    </font>
    <font>
      <sz val="7"/>
      <color theme="1"/>
      <name val="Times New Roman"/>
      <family val="1"/>
    </font>
    <font>
      <b/>
      <sz val="14"/>
      <color theme="1"/>
      <name val="Calibri"/>
      <family val="2"/>
      <scheme val="minor"/>
    </font>
    <font>
      <i/>
      <sz val="11.5"/>
      <color rgb="FF000000"/>
      <name val="Times New Roman"/>
      <family val="1"/>
    </font>
    <font>
      <sz val="11.5"/>
      <color rgb="FF000000"/>
      <name val="Times New Roman"/>
      <family val="1"/>
    </font>
    <font>
      <b/>
      <sz val="7"/>
      <color theme="1"/>
      <name val="Times New Roman"/>
      <family val="1"/>
    </font>
    <font>
      <sz val="11"/>
      <color rgb="FF333333"/>
      <name val="Open Sans"/>
      <family val="2"/>
    </font>
    <font>
      <sz val="9.5"/>
      <color rgb="FF10147E"/>
      <name val="MyriadPro-SemiboldSemiCn"/>
    </font>
    <font>
      <sz val="9.5"/>
      <color rgb="FF000000"/>
      <name val="MyriadPro-SemiCn"/>
    </font>
    <font>
      <sz val="13"/>
      <color rgb="FF333333"/>
      <name val="Open Sans"/>
      <family val="2"/>
    </font>
    <font>
      <sz val="11"/>
      <color rgb="FF000000"/>
      <name val="Calibri"/>
      <family val="2"/>
      <scheme val="minor"/>
    </font>
    <font>
      <sz val="8"/>
      <color rgb="FF000000"/>
      <name val="Calibri"/>
      <family val="2"/>
      <scheme val="minor"/>
    </font>
    <font>
      <b/>
      <sz val="8"/>
      <color rgb="FF000000"/>
      <name val="Calibri"/>
      <family val="2"/>
      <scheme val="minor"/>
    </font>
    <font>
      <b/>
      <sz val="11"/>
      <color rgb="FF000000"/>
      <name val="Calibri"/>
      <family val="2"/>
      <scheme val="minor"/>
    </font>
    <font>
      <u/>
      <sz val="11"/>
      <color theme="10"/>
      <name val="Calibri"/>
      <family val="2"/>
      <scheme val="minor"/>
    </font>
    <font>
      <b/>
      <sz val="22"/>
      <color theme="1"/>
      <name val="Calibri"/>
      <family val="2"/>
      <scheme val="minor"/>
    </font>
    <font>
      <b/>
      <sz val="11"/>
      <color rgb="FF000000"/>
      <name val="Calibri"/>
      <family val="2"/>
    </font>
    <font>
      <b/>
      <sz val="11"/>
      <color indexed="8"/>
      <name val="Calibri"/>
      <family val="2"/>
    </font>
  </fonts>
  <fills count="14">
    <fill>
      <patternFill patternType="none"/>
    </fill>
    <fill>
      <patternFill patternType="gray125"/>
    </fill>
    <fill>
      <patternFill patternType="solid">
        <fgColor theme="5"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indexed="22"/>
        <bgColor indexed="0"/>
      </patternFill>
    </fill>
    <fill>
      <patternFill patternType="solid">
        <fgColor theme="6" tint="-0.249977111117893"/>
        <bgColor indexed="64"/>
      </patternFill>
    </fill>
    <fill>
      <patternFill patternType="solid">
        <fgColor rgb="FF00FF00"/>
        <bgColor indexed="64"/>
      </patternFill>
    </fill>
    <fill>
      <patternFill patternType="solid">
        <fgColor rgb="FFC0C0C0"/>
        <bgColor rgb="FFC0C0C0"/>
      </patternFill>
    </fill>
    <fill>
      <patternFill patternType="solid">
        <fgColor rgb="FFFF0000"/>
        <bgColor indexed="64"/>
      </patternFill>
    </fill>
  </fills>
  <borders count="36">
    <border>
      <left/>
      <right/>
      <top/>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diagonal/>
    </border>
    <border>
      <left/>
      <right style="medium">
        <color auto="1"/>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s>
  <cellStyleXfs count="13">
    <xf numFmtId="0" fontId="0" fillId="0" borderId="0"/>
    <xf numFmtId="9" fontId="3" fillId="0" borderId="0" applyFont="0" applyFill="0" applyBorder="0" applyAlignment="0" applyProtection="0"/>
    <xf numFmtId="43" fontId="3" fillId="0" borderId="0" applyFont="0" applyFill="0" applyBorder="0" applyAlignment="0" applyProtection="0"/>
    <xf numFmtId="0" fontId="13" fillId="0" borderId="0"/>
    <xf numFmtId="0" fontId="24" fillId="0" borderId="0"/>
    <xf numFmtId="0" fontId="24" fillId="0" borderId="0"/>
    <xf numFmtId="0" fontId="40"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cellStyleXfs>
  <cellXfs count="337">
    <xf numFmtId="0" fontId="0" fillId="0" borderId="0" xfId="0"/>
    <xf numFmtId="0" fontId="1" fillId="0" borderId="0" xfId="0" applyFont="1"/>
    <xf numFmtId="164" fontId="0" fillId="0" borderId="0" xfId="0" applyNumberFormat="1"/>
    <xf numFmtId="0" fontId="0" fillId="0" borderId="0" xfId="0" applyAlignment="1">
      <alignment vertical="center" wrapText="1"/>
    </xf>
    <xf numFmtId="14" fontId="0" fillId="0" borderId="0" xfId="0" applyNumberFormat="1" applyAlignment="1">
      <alignment vertical="center" wrapText="1"/>
    </xf>
    <xf numFmtId="2" fontId="0" fillId="0" borderId="0" xfId="0" applyNumberFormat="1" applyAlignment="1">
      <alignment vertical="center" wrapText="1"/>
    </xf>
    <xf numFmtId="1" fontId="0" fillId="0" borderId="0" xfId="0" applyNumberFormat="1"/>
    <xf numFmtId="0" fontId="0" fillId="0" borderId="0" xfId="0" applyAlignment="1">
      <alignment wrapText="1"/>
    </xf>
    <xf numFmtId="0" fontId="1" fillId="0" borderId="0" xfId="0" applyFont="1" applyAlignment="1">
      <alignment wrapText="1"/>
    </xf>
    <xf numFmtId="2" fontId="0" fillId="0" borderId="0" xfId="0" applyNumberFormat="1"/>
    <xf numFmtId="1" fontId="1" fillId="0" borderId="0" xfId="0" applyNumberFormat="1" applyFont="1" applyAlignment="1">
      <alignment wrapText="1"/>
    </xf>
    <xf numFmtId="1" fontId="0" fillId="0" borderId="0" xfId="0" applyNumberFormat="1" applyAlignment="1">
      <alignment vertical="center" wrapText="1"/>
    </xf>
    <xf numFmtId="0" fontId="1" fillId="0" borderId="1" xfId="0" applyFont="1" applyBorder="1" applyAlignment="1">
      <alignment wrapText="1"/>
    </xf>
    <xf numFmtId="0" fontId="4" fillId="0" borderId="0" xfId="0" applyFont="1" applyAlignment="1">
      <alignment wrapText="1"/>
    </xf>
    <xf numFmtId="10" fontId="0" fillId="0" borderId="0" xfId="1" applyNumberFormat="1" applyFont="1"/>
    <xf numFmtId="166" fontId="0" fillId="0" borderId="0" xfId="2" applyNumberFormat="1" applyFont="1"/>
    <xf numFmtId="0" fontId="0" fillId="0" borderId="1" xfId="0" applyBorder="1" applyAlignment="1">
      <alignment wrapText="1"/>
    </xf>
    <xf numFmtId="9" fontId="0" fillId="0" borderId="0" xfId="1" applyFont="1"/>
    <xf numFmtId="11" fontId="0" fillId="0" borderId="0" xfId="0" applyNumberFormat="1"/>
    <xf numFmtId="9" fontId="0" fillId="0" borderId="0" xfId="1" applyFont="1" applyFill="1"/>
    <xf numFmtId="14" fontId="0" fillId="0" borderId="0" xfId="0" applyNumberFormat="1" applyAlignment="1">
      <alignment wrapText="1"/>
    </xf>
    <xf numFmtId="0" fontId="5" fillId="0" borderId="0" xfId="0" applyFont="1" applyAlignment="1">
      <alignment horizontal="left" vertical="center" wrapText="1"/>
    </xf>
    <xf numFmtId="22" fontId="0" fillId="0" borderId="0" xfId="0" applyNumberFormat="1" applyAlignment="1">
      <alignment vertical="center" wrapText="1"/>
    </xf>
    <xf numFmtId="22" fontId="0" fillId="0" borderId="0" xfId="0" applyNumberFormat="1"/>
    <xf numFmtId="10" fontId="0" fillId="0" borderId="0" xfId="0" applyNumberFormat="1" applyAlignment="1">
      <alignment horizontal="right" vertical="center" wrapText="1"/>
    </xf>
    <xf numFmtId="165" fontId="0" fillId="0" borderId="0" xfId="0" applyNumberFormat="1"/>
    <xf numFmtId="165" fontId="0" fillId="0" borderId="0" xfId="0" applyNumberFormat="1" applyAlignment="1">
      <alignment vertical="center" wrapText="1"/>
    </xf>
    <xf numFmtId="167" fontId="0" fillId="0" borderId="0" xfId="0" applyNumberFormat="1"/>
    <xf numFmtId="2" fontId="6" fillId="0" borderId="0" xfId="0" applyNumberFormat="1" applyFont="1"/>
    <xf numFmtId="0" fontId="7" fillId="0" borderId="0" xfId="0" applyFont="1"/>
    <xf numFmtId="168" fontId="0" fillId="0" borderId="0" xfId="0" applyNumberFormat="1"/>
    <xf numFmtId="2" fontId="4" fillId="0" borderId="0" xfId="0" applyNumberFormat="1" applyFont="1"/>
    <xf numFmtId="165" fontId="4" fillId="0" borderId="0" xfId="0" applyNumberFormat="1" applyFont="1"/>
    <xf numFmtId="164" fontId="4" fillId="0" borderId="0" xfId="0" applyNumberFormat="1" applyFont="1"/>
    <xf numFmtId="167" fontId="4" fillId="0" borderId="0" xfId="0" applyNumberFormat="1" applyFont="1"/>
    <xf numFmtId="164" fontId="6" fillId="0" borderId="0" xfId="0" applyNumberFormat="1" applyFont="1"/>
    <xf numFmtId="0" fontId="8" fillId="0" borderId="0" xfId="0" applyFont="1"/>
    <xf numFmtId="0" fontId="0" fillId="0" borderId="1" xfId="0" applyBorder="1"/>
    <xf numFmtId="169" fontId="0" fillId="0" borderId="0" xfId="0" applyNumberFormat="1" applyAlignment="1">
      <alignment vertical="center" wrapText="1"/>
    </xf>
    <xf numFmtId="169" fontId="4" fillId="0" borderId="0" xfId="0" applyNumberFormat="1" applyFont="1" applyAlignment="1">
      <alignment vertical="center" wrapText="1"/>
    </xf>
    <xf numFmtId="0" fontId="1" fillId="3" borderId="1" xfId="0" applyFont="1" applyFill="1" applyBorder="1" applyAlignment="1">
      <alignment wrapText="1"/>
    </xf>
    <xf numFmtId="0" fontId="9" fillId="0" borderId="0" xfId="0" applyFont="1" applyAlignment="1">
      <alignment wrapText="1"/>
    </xf>
    <xf numFmtId="2" fontId="8" fillId="0" borderId="0" xfId="0" applyNumberFormat="1" applyFont="1"/>
    <xf numFmtId="164" fontId="1" fillId="0" borderId="0" xfId="0" applyNumberFormat="1" applyFont="1"/>
    <xf numFmtId="2" fontId="1" fillId="0" borderId="0" xfId="0" applyNumberFormat="1" applyFont="1"/>
    <xf numFmtId="14" fontId="4" fillId="0" borderId="0" xfId="0" applyNumberFormat="1" applyFont="1" applyAlignment="1">
      <alignment vertical="center" wrapText="1"/>
    </xf>
    <xf numFmtId="0" fontId="4" fillId="0" borderId="0" xfId="0" applyFont="1" applyAlignment="1">
      <alignment vertical="center" wrapText="1"/>
    </xf>
    <xf numFmtId="0" fontId="4" fillId="0" borderId="0" xfId="0" applyFont="1"/>
    <xf numFmtId="170" fontId="0" fillId="0" borderId="0" xfId="0" applyNumberFormat="1" applyAlignment="1">
      <alignment wrapText="1"/>
    </xf>
    <xf numFmtId="0" fontId="6" fillId="0" borderId="0" xfId="0" applyFont="1" applyAlignment="1">
      <alignment vertical="center"/>
    </xf>
    <xf numFmtId="9" fontId="3" fillId="0" borderId="0" xfId="1" applyFont="1"/>
    <xf numFmtId="1" fontId="1" fillId="0" borderId="0" xfId="0" applyNumberFormat="1" applyFont="1" applyAlignment="1">
      <alignment vertical="center" wrapText="1"/>
    </xf>
    <xf numFmtId="0" fontId="0" fillId="5" borderId="0" xfId="0" applyFill="1"/>
    <xf numFmtId="14" fontId="0" fillId="0" borderId="1" xfId="0" applyNumberFormat="1" applyBorder="1" applyAlignment="1">
      <alignment wrapText="1"/>
    </xf>
    <xf numFmtId="22" fontId="0" fillId="0" borderId="1" xfId="0" applyNumberFormat="1" applyBorder="1" applyAlignment="1">
      <alignment vertical="center" wrapText="1"/>
    </xf>
    <xf numFmtId="9" fontId="0" fillId="0" borderId="1" xfId="1" applyFont="1" applyFill="1" applyBorder="1" applyAlignment="1">
      <alignment vertical="center" wrapText="1"/>
    </xf>
    <xf numFmtId="10" fontId="0" fillId="0" borderId="1" xfId="1" applyNumberFormat="1" applyFont="1" applyBorder="1"/>
    <xf numFmtId="10" fontId="6" fillId="0" borderId="1" xfId="1" applyNumberFormat="1" applyFont="1" applyBorder="1"/>
    <xf numFmtId="14" fontId="0" fillId="0" borderId="1" xfId="0" applyNumberFormat="1" applyBorder="1" applyAlignment="1">
      <alignment vertical="center" wrapText="1"/>
    </xf>
    <xf numFmtId="0" fontId="0" fillId="0" borderId="1" xfId="0" applyBorder="1" applyAlignment="1">
      <alignment vertical="center" wrapText="1"/>
    </xf>
    <xf numFmtId="1" fontId="0" fillId="0" borderId="1" xfId="0" applyNumberFormat="1" applyBorder="1" applyAlignment="1">
      <alignment vertical="center" wrapText="1"/>
    </xf>
    <xf numFmtId="164" fontId="0" fillId="0" borderId="0" xfId="0" applyNumberFormat="1" applyAlignment="1">
      <alignment vertical="center" wrapText="1"/>
    </xf>
    <xf numFmtId="14" fontId="1" fillId="0" borderId="0" xfId="0" applyNumberFormat="1" applyFont="1" applyAlignment="1">
      <alignment wrapText="1"/>
    </xf>
    <xf numFmtId="169" fontId="1" fillId="0" borderId="0" xfId="0" applyNumberFormat="1" applyFont="1" applyAlignment="1">
      <alignment vertical="center" wrapText="1"/>
    </xf>
    <xf numFmtId="0" fontId="5" fillId="0" borderId="0" xfId="0" applyFont="1" applyAlignment="1">
      <alignment horizontal="left" vertical="center"/>
    </xf>
    <xf numFmtId="14" fontId="0" fillId="0" borderId="0" xfId="0" applyNumberFormat="1"/>
    <xf numFmtId="165" fontId="1" fillId="0" borderId="0" xfId="0" applyNumberFormat="1" applyFont="1"/>
    <xf numFmtId="167" fontId="1" fillId="0" borderId="0" xfId="0" applyNumberFormat="1" applyFont="1"/>
    <xf numFmtId="164" fontId="0" fillId="0" borderId="0" xfId="0" applyNumberFormat="1" applyAlignment="1">
      <alignment wrapText="1"/>
    </xf>
    <xf numFmtId="14" fontId="10" fillId="0" borderId="0" xfId="0" applyNumberFormat="1" applyFont="1" applyAlignment="1">
      <alignment vertical="center" wrapText="1"/>
    </xf>
    <xf numFmtId="14" fontId="10" fillId="0" borderId="0" xfId="0" applyNumberFormat="1" applyFont="1" applyAlignment="1">
      <alignment wrapText="1"/>
    </xf>
    <xf numFmtId="0" fontId="10" fillId="0" borderId="0" xfId="0" applyFont="1"/>
    <xf numFmtId="169" fontId="10" fillId="0" borderId="0" xfId="0" applyNumberFormat="1" applyFont="1" applyAlignment="1">
      <alignment vertical="center" wrapText="1"/>
    </xf>
    <xf numFmtId="2" fontId="10" fillId="0" borderId="0" xfId="0" applyNumberFormat="1" applyFont="1"/>
    <xf numFmtId="0" fontId="10" fillId="0" borderId="0" xfId="0" applyFont="1" applyAlignment="1">
      <alignment vertical="center" wrapText="1"/>
    </xf>
    <xf numFmtId="9" fontId="10" fillId="0" borderId="0" xfId="1" applyFont="1" applyFill="1"/>
    <xf numFmtId="171" fontId="0" fillId="0" borderId="0" xfId="0" applyNumberFormat="1" applyAlignment="1">
      <alignment horizontal="left"/>
    </xf>
    <xf numFmtId="0" fontId="0" fillId="3" borderId="0" xfId="0" applyFill="1"/>
    <xf numFmtId="164" fontId="10" fillId="0" borderId="0" xfId="0" applyNumberFormat="1" applyFont="1"/>
    <xf numFmtId="172" fontId="0" fillId="0" borderId="0" xfId="0" applyNumberFormat="1"/>
    <xf numFmtId="171" fontId="0" fillId="0" borderId="0" xfId="1" applyNumberFormat="1" applyFont="1" applyFill="1" applyBorder="1"/>
    <xf numFmtId="166" fontId="0" fillId="0" borderId="0" xfId="2" applyNumberFormat="1" applyFont="1" applyFill="1" applyBorder="1"/>
    <xf numFmtId="164" fontId="0" fillId="4" borderId="0" xfId="0" applyNumberFormat="1" applyFill="1"/>
    <xf numFmtId="164" fontId="0" fillId="2" borderId="0" xfId="0" applyNumberFormat="1" applyFill="1"/>
    <xf numFmtId="0" fontId="11" fillId="0" borderId="0" xfId="0" applyFont="1" applyAlignment="1">
      <alignment wrapText="1"/>
    </xf>
    <xf numFmtId="14" fontId="11" fillId="0" borderId="0" xfId="0" applyNumberFormat="1" applyFont="1"/>
    <xf numFmtId="0" fontId="11" fillId="0" borderId="0" xfId="0" applyFont="1"/>
    <xf numFmtId="0" fontId="12" fillId="0" borderId="0" xfId="0" applyFont="1" applyAlignment="1">
      <alignment horizontal="left" vertical="center" wrapText="1"/>
    </xf>
    <xf numFmtId="0" fontId="12" fillId="0" borderId="0" xfId="0" applyFont="1" applyAlignment="1">
      <alignment horizontal="left" vertical="center"/>
    </xf>
    <xf numFmtId="2" fontId="11" fillId="0" borderId="0" xfId="0" applyNumberFormat="1" applyFont="1"/>
    <xf numFmtId="10" fontId="14" fillId="0" borderId="0" xfId="3" applyNumberFormat="1" applyFont="1" applyAlignment="1">
      <alignment horizontal="center"/>
    </xf>
    <xf numFmtId="0" fontId="1" fillId="3" borderId="0" xfId="0" applyFont="1" applyFill="1" applyAlignment="1">
      <alignment wrapText="1"/>
    </xf>
    <xf numFmtId="168" fontId="0" fillId="3" borderId="0" xfId="0" applyNumberFormat="1" applyFill="1"/>
    <xf numFmtId="11" fontId="0" fillId="3" borderId="0" xfId="0" applyNumberFormat="1" applyFill="1"/>
    <xf numFmtId="10" fontId="14" fillId="0" borderId="0" xfId="3" applyNumberFormat="1" applyFont="1" applyAlignment="1">
      <alignment horizontal="center" wrapText="1"/>
    </xf>
    <xf numFmtId="164" fontId="1" fillId="0" borderId="0" xfId="0" applyNumberFormat="1" applyFont="1" applyAlignment="1">
      <alignment wrapText="1"/>
    </xf>
    <xf numFmtId="175" fontId="0" fillId="0" borderId="0" xfId="0" applyNumberFormat="1"/>
    <xf numFmtId="175" fontId="0" fillId="0" borderId="0" xfId="0" applyNumberFormat="1" applyAlignment="1">
      <alignment wrapText="1"/>
    </xf>
    <xf numFmtId="1" fontId="0" fillId="0" borderId="0" xfId="0" applyNumberFormat="1" applyAlignment="1">
      <alignment wrapText="1"/>
    </xf>
    <xf numFmtId="165" fontId="0" fillId="0" borderId="0" xfId="0" applyNumberFormat="1" applyAlignment="1">
      <alignment wrapText="1"/>
    </xf>
    <xf numFmtId="0" fontId="15" fillId="0" borderId="0" xfId="0" applyFont="1" applyAlignment="1">
      <alignment wrapText="1"/>
    </xf>
    <xf numFmtId="0" fontId="16" fillId="0" borderId="0" xfId="0" applyFont="1"/>
    <xf numFmtId="174" fontId="0" fillId="7" borderId="0" xfId="0" applyNumberFormat="1" applyFill="1"/>
    <xf numFmtId="164" fontId="16" fillId="0" borderId="0" xfId="0" applyNumberFormat="1" applyFont="1"/>
    <xf numFmtId="171" fontId="0" fillId="0" borderId="0" xfId="0" applyNumberFormat="1" applyProtection="1">
      <protection locked="0"/>
    </xf>
    <xf numFmtId="9" fontId="0" fillId="0" borderId="0" xfId="0" applyNumberFormat="1" applyProtection="1">
      <protection locked="0"/>
    </xf>
    <xf numFmtId="3" fontId="0" fillId="0" borderId="0" xfId="0" applyNumberFormat="1" applyProtection="1">
      <protection locked="0"/>
    </xf>
    <xf numFmtId="9" fontId="3" fillId="0" borderId="0" xfId="1" applyFont="1" applyFill="1"/>
    <xf numFmtId="166" fontId="0" fillId="0" borderId="0" xfId="2" applyNumberFormat="1" applyFont="1" applyFill="1" applyBorder="1" applyAlignment="1">
      <alignment vertical="center" wrapText="1"/>
    </xf>
    <xf numFmtId="2" fontId="0" fillId="0" borderId="0" xfId="0" applyNumberFormat="1" applyAlignment="1">
      <alignment wrapText="1"/>
    </xf>
    <xf numFmtId="9" fontId="0" fillId="0" borderId="0" xfId="1" applyFont="1" applyFill="1" applyBorder="1" applyAlignment="1">
      <alignment vertical="center" wrapText="1"/>
    </xf>
    <xf numFmtId="0" fontId="17" fillId="0" borderId="0" xfId="0" applyFont="1"/>
    <xf numFmtId="171" fontId="0" fillId="0" borderId="0" xfId="1" applyNumberFormat="1" applyFont="1" applyFill="1"/>
    <xf numFmtId="171" fontId="0" fillId="0" borderId="0" xfId="1" applyNumberFormat="1" applyFont="1"/>
    <xf numFmtId="9" fontId="0" fillId="6" borderId="0" xfId="1" applyFont="1" applyFill="1"/>
    <xf numFmtId="173" fontId="0" fillId="4" borderId="0" xfId="0" applyNumberFormat="1" applyFill="1"/>
    <xf numFmtId="173" fontId="0" fillId="2" borderId="0" xfId="0" applyNumberFormat="1" applyFill="1"/>
    <xf numFmtId="171" fontId="3" fillId="0" borderId="0" xfId="1" applyNumberFormat="1" applyFont="1"/>
    <xf numFmtId="165" fontId="10" fillId="0" borderId="0" xfId="0" applyNumberFormat="1" applyFont="1"/>
    <xf numFmtId="168" fontId="10" fillId="0" borderId="0" xfId="0" applyNumberFormat="1" applyFont="1"/>
    <xf numFmtId="167" fontId="10" fillId="0" borderId="0" xfId="0" applyNumberFormat="1" applyFont="1"/>
    <xf numFmtId="2" fontId="1" fillId="0" borderId="0" xfId="0" applyNumberFormat="1" applyFont="1" applyAlignment="1">
      <alignment wrapText="1"/>
    </xf>
    <xf numFmtId="10" fontId="0" fillId="0" borderId="0" xfId="1" applyNumberFormat="1" applyFont="1" applyFill="1"/>
    <xf numFmtId="166" fontId="0" fillId="0" borderId="0" xfId="2" applyNumberFormat="1" applyFont="1" applyFill="1"/>
    <xf numFmtId="1" fontId="10" fillId="0" borderId="0" xfId="0" applyNumberFormat="1" applyFont="1"/>
    <xf numFmtId="11" fontId="10" fillId="0" borderId="0" xfId="0" applyNumberFormat="1" applyFont="1"/>
    <xf numFmtId="14" fontId="10" fillId="0" borderId="0" xfId="0" applyNumberFormat="1" applyFont="1"/>
    <xf numFmtId="22" fontId="10" fillId="0" borderId="0" xfId="0" applyNumberFormat="1" applyFont="1" applyAlignment="1">
      <alignment vertical="center" wrapText="1"/>
    </xf>
    <xf numFmtId="14" fontId="10" fillId="0" borderId="0" xfId="0" applyNumberFormat="1" applyFont="1" applyAlignment="1">
      <alignment horizontal="left"/>
    </xf>
    <xf numFmtId="0" fontId="10" fillId="0" borderId="0" xfId="0" applyFont="1" applyAlignment="1">
      <alignment wrapText="1"/>
    </xf>
    <xf numFmtId="165" fontId="6" fillId="0" borderId="0" xfId="0" applyNumberFormat="1" applyFont="1"/>
    <xf numFmtId="171" fontId="6" fillId="0" borderId="0" xfId="1" applyNumberFormat="1" applyFont="1" applyFill="1" applyBorder="1"/>
    <xf numFmtId="166" fontId="6" fillId="0" borderId="0" xfId="2" applyNumberFormat="1" applyFont="1" applyFill="1" applyBorder="1"/>
    <xf numFmtId="2" fontId="0" fillId="0" borderId="0" xfId="1" applyNumberFormat="1" applyFont="1" applyFill="1"/>
    <xf numFmtId="2" fontId="0" fillId="0" borderId="0" xfId="1" applyNumberFormat="1" applyFont="1" applyFill="1" applyBorder="1"/>
    <xf numFmtId="2" fontId="6" fillId="0" borderId="0" xfId="1" applyNumberFormat="1" applyFont="1" applyFill="1"/>
    <xf numFmtId="2" fontId="10" fillId="0" borderId="0" xfId="1" applyNumberFormat="1" applyFont="1" applyFill="1"/>
    <xf numFmtId="2" fontId="10" fillId="0" borderId="0" xfId="1" applyNumberFormat="1" applyFont="1" applyFill="1" applyBorder="1"/>
    <xf numFmtId="170" fontId="10" fillId="0" borderId="0" xfId="0" applyNumberFormat="1" applyFont="1" applyAlignment="1">
      <alignment wrapText="1"/>
    </xf>
    <xf numFmtId="0" fontId="18" fillId="0" borderId="0" xfId="0" applyFont="1" applyAlignment="1">
      <alignment horizontal="left" vertical="center"/>
    </xf>
    <xf numFmtId="0" fontId="10" fillId="3" borderId="0" xfId="0" applyFont="1" applyFill="1"/>
    <xf numFmtId="168" fontId="10" fillId="3" borderId="0" xfId="0" applyNumberFormat="1" applyFont="1" applyFill="1"/>
    <xf numFmtId="11" fontId="10" fillId="3" borderId="0" xfId="0" applyNumberFormat="1" applyFont="1" applyFill="1"/>
    <xf numFmtId="164" fontId="10" fillId="4" borderId="0" xfId="0" applyNumberFormat="1" applyFont="1" applyFill="1"/>
    <xf numFmtId="164" fontId="10" fillId="2" borderId="0" xfId="0" applyNumberFormat="1" applyFont="1" applyFill="1"/>
    <xf numFmtId="9" fontId="10" fillId="0" borderId="0" xfId="1" applyFont="1"/>
    <xf numFmtId="174" fontId="10" fillId="7" borderId="0" xfId="0" applyNumberFormat="1" applyFont="1" applyFill="1"/>
    <xf numFmtId="0" fontId="10" fillId="4" borderId="0" xfId="0" applyFont="1" applyFill="1"/>
    <xf numFmtId="0" fontId="10" fillId="2" borderId="0" xfId="0" applyFont="1" applyFill="1"/>
    <xf numFmtId="1" fontId="10" fillId="0" borderId="0" xfId="0" applyNumberFormat="1" applyFont="1" applyAlignment="1">
      <alignment vertical="center" wrapText="1"/>
    </xf>
    <xf numFmtId="165" fontId="10" fillId="0" borderId="0" xfId="0" applyNumberFormat="1" applyFont="1" applyAlignment="1">
      <alignment vertical="center" wrapText="1"/>
    </xf>
    <xf numFmtId="166" fontId="10" fillId="0" borderId="0" xfId="2" applyNumberFormat="1" applyFont="1" applyFill="1" applyBorder="1" applyAlignment="1">
      <alignment vertical="center" wrapText="1"/>
    </xf>
    <xf numFmtId="2" fontId="10" fillId="0" borderId="0" xfId="0" applyNumberFormat="1" applyFont="1" applyAlignment="1">
      <alignment vertical="center" wrapText="1"/>
    </xf>
    <xf numFmtId="10" fontId="16" fillId="0" borderId="0" xfId="1" applyNumberFormat="1" applyFont="1" applyFill="1"/>
    <xf numFmtId="166" fontId="16" fillId="0" borderId="0" xfId="2" applyNumberFormat="1" applyFont="1" applyFill="1"/>
    <xf numFmtId="10" fontId="10" fillId="0" borderId="0" xfId="1" applyNumberFormat="1" applyFont="1" applyFill="1"/>
    <xf numFmtId="166" fontId="10" fillId="0" borderId="0" xfId="2" applyNumberFormat="1" applyFont="1" applyFill="1"/>
    <xf numFmtId="0" fontId="1" fillId="8" borderId="0" xfId="0" applyFont="1" applyFill="1"/>
    <xf numFmtId="1" fontId="1" fillId="8" borderId="0" xfId="0" applyNumberFormat="1" applyFont="1" applyFill="1" applyAlignment="1">
      <alignment vertical="center" wrapText="1"/>
    </xf>
    <xf numFmtId="1" fontId="0" fillId="8" borderId="0" xfId="0" applyNumberFormat="1" applyFill="1" applyAlignment="1">
      <alignment vertical="center" wrapText="1"/>
    </xf>
    <xf numFmtId="2" fontId="1" fillId="8" borderId="0" xfId="0" applyNumberFormat="1" applyFont="1" applyFill="1" applyAlignment="1">
      <alignment wrapText="1"/>
    </xf>
    <xf numFmtId="2" fontId="1" fillId="8" borderId="0" xfId="0" applyNumberFormat="1" applyFont="1" applyFill="1"/>
    <xf numFmtId="0" fontId="9" fillId="0" borderId="0" xfId="0" applyFont="1" applyAlignment="1">
      <alignment horizontal="left"/>
    </xf>
    <xf numFmtId="0" fontId="9" fillId="0" borderId="0" xfId="0" applyFont="1"/>
    <xf numFmtId="0" fontId="8" fillId="0" borderId="0" xfId="0" applyFont="1" applyAlignment="1">
      <alignment horizontal="left"/>
    </xf>
    <xf numFmtId="1" fontId="8" fillId="0" borderId="0" xfId="0" applyNumberFormat="1" applyFont="1" applyAlignment="1">
      <alignment horizontal="left" wrapText="1"/>
    </xf>
    <xf numFmtId="0" fontId="8" fillId="0" borderId="0" xfId="0" applyFont="1" applyAlignment="1">
      <alignment horizontal="left" wrapText="1"/>
    </xf>
    <xf numFmtId="10" fontId="8" fillId="0" borderId="0" xfId="3" applyNumberFormat="1" applyFont="1" applyAlignment="1">
      <alignment horizontal="left"/>
    </xf>
    <xf numFmtId="0" fontId="19" fillId="0" borderId="0" xfId="0" applyFont="1"/>
    <xf numFmtId="0" fontId="8" fillId="0" borderId="0" xfId="0" quotePrefix="1" applyFont="1"/>
    <xf numFmtId="164" fontId="8" fillId="0" borderId="0" xfId="0" applyNumberFormat="1" applyFont="1" applyAlignment="1">
      <alignment horizontal="left"/>
    </xf>
    <xf numFmtId="0" fontId="22" fillId="0" borderId="0" xfId="0" applyFont="1"/>
    <xf numFmtId="0" fontId="23" fillId="0" borderId="0" xfId="0" applyFont="1" applyAlignment="1">
      <alignment horizontal="center" vertical="center"/>
    </xf>
    <xf numFmtId="0" fontId="23" fillId="0" borderId="0" xfId="0" applyFont="1" applyAlignment="1">
      <alignment horizontal="left" vertical="center"/>
    </xf>
    <xf numFmtId="0" fontId="25" fillId="9" borderId="2" xfId="4" applyFont="1" applyFill="1" applyBorder="1" applyAlignment="1">
      <alignment horizontal="center"/>
    </xf>
    <xf numFmtId="0" fontId="25" fillId="9" borderId="2" xfId="5" applyFont="1" applyFill="1" applyBorder="1" applyAlignment="1">
      <alignment horizontal="center"/>
    </xf>
    <xf numFmtId="0" fontId="0" fillId="6" borderId="0" xfId="0" applyFill="1"/>
    <xf numFmtId="0" fontId="25" fillId="0" borderId="3" xfId="5" applyFont="1" applyBorder="1" applyAlignment="1">
      <alignment wrapText="1"/>
    </xf>
    <xf numFmtId="0" fontId="25" fillId="0" borderId="3" xfId="5" applyFont="1" applyBorder="1" applyAlignment="1">
      <alignment horizontal="right" wrapText="1"/>
    </xf>
    <xf numFmtId="0" fontId="25" fillId="0" borderId="0" xfId="5" applyFont="1" applyAlignment="1">
      <alignment wrapText="1"/>
    </xf>
    <xf numFmtId="2" fontId="25" fillId="0" borderId="3" xfId="5" applyNumberFormat="1" applyFont="1" applyBorder="1" applyAlignment="1">
      <alignment wrapText="1"/>
    </xf>
    <xf numFmtId="176" fontId="0" fillId="0" borderId="0" xfId="1" applyNumberFormat="1" applyFont="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168" fontId="0" fillId="0" borderId="0" xfId="0" applyNumberFormat="1" applyAlignment="1">
      <alignment horizontal="center"/>
    </xf>
    <xf numFmtId="164" fontId="0" fillId="0" borderId="0" xfId="0" applyNumberFormat="1" applyAlignment="1">
      <alignment horizontal="center"/>
    </xf>
    <xf numFmtId="168" fontId="0" fillId="6" borderId="0" xfId="0" applyNumberFormat="1" applyFill="1" applyAlignment="1">
      <alignment horizontal="center"/>
    </xf>
    <xf numFmtId="0" fontId="0" fillId="0" borderId="0" xfId="0" applyAlignment="1">
      <alignment horizontal="center"/>
    </xf>
    <xf numFmtId="0" fontId="0" fillId="6" borderId="0" xfId="0" applyFill="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10" borderId="5" xfId="0" applyFill="1" applyBorder="1"/>
    <xf numFmtId="0" fontId="0" fillId="10" borderId="8" xfId="0" applyFill="1" applyBorder="1"/>
    <xf numFmtId="164" fontId="0" fillId="10" borderId="5" xfId="0" applyNumberFormat="1" applyFill="1" applyBorder="1" applyAlignment="1">
      <alignment horizontal="center"/>
    </xf>
    <xf numFmtId="0" fontId="0" fillId="10" borderId="8" xfId="0" applyFill="1" applyBorder="1" applyAlignment="1">
      <alignment horizontal="center"/>
    </xf>
    <xf numFmtId="168" fontId="0" fillId="10" borderId="0" xfId="0" applyNumberFormat="1" applyFill="1" applyAlignment="1">
      <alignment horizontal="center"/>
    </xf>
    <xf numFmtId="14" fontId="0" fillId="11" borderId="0" xfId="0" applyNumberFormat="1" applyFill="1"/>
    <xf numFmtId="175" fontId="0" fillId="11" borderId="0" xfId="0" applyNumberFormat="1" applyFill="1"/>
    <xf numFmtId="2" fontId="0" fillId="11" borderId="0" xfId="0" applyNumberFormat="1" applyFill="1"/>
    <xf numFmtId="164" fontId="0" fillId="11" borderId="0" xfId="0" applyNumberFormat="1" applyFill="1"/>
    <xf numFmtId="165" fontId="0" fillId="11" borderId="0" xfId="0" applyNumberFormat="1" applyFill="1"/>
    <xf numFmtId="11" fontId="0" fillId="11" borderId="0" xfId="0" applyNumberFormat="1" applyFill="1"/>
    <xf numFmtId="0" fontId="0" fillId="11" borderId="0" xfId="0" applyFill="1"/>
    <xf numFmtId="0" fontId="0" fillId="0" borderId="0" xfId="0" applyAlignment="1">
      <alignment horizontal="left" vertical="center" indent="6"/>
    </xf>
    <xf numFmtId="0" fontId="26" fillId="0" borderId="0" xfId="0" applyFont="1" applyAlignment="1">
      <alignment horizontal="left" vertical="center" indent="6"/>
    </xf>
    <xf numFmtId="0" fontId="0" fillId="0" borderId="0" xfId="0" applyAlignment="1">
      <alignment vertical="center"/>
    </xf>
    <xf numFmtId="0" fontId="26" fillId="0" borderId="0" xfId="0" applyFont="1" applyAlignment="1">
      <alignment vertical="center"/>
    </xf>
    <xf numFmtId="0" fontId="26" fillId="0" borderId="0" xfId="0" applyFont="1" applyAlignment="1">
      <alignment horizontal="left" vertical="center" indent="5"/>
    </xf>
    <xf numFmtId="0" fontId="40" fillId="0" borderId="0" xfId="6" applyAlignment="1">
      <alignment vertical="center"/>
    </xf>
    <xf numFmtId="0" fontId="29" fillId="0" borderId="0" xfId="0" applyFont="1" applyAlignment="1">
      <alignment vertical="center"/>
    </xf>
    <xf numFmtId="0" fontId="30" fillId="0" borderId="0" xfId="0" applyFont="1" applyAlignment="1">
      <alignment vertical="center"/>
    </xf>
    <xf numFmtId="0" fontId="28" fillId="0" borderId="0" xfId="0" applyFont="1" applyAlignment="1">
      <alignment vertical="center"/>
    </xf>
    <xf numFmtId="0" fontId="28" fillId="0" borderId="0" xfId="0" applyFont="1" applyAlignment="1">
      <alignment horizontal="left" vertical="center" indent="5"/>
    </xf>
    <xf numFmtId="0" fontId="0" fillId="0" borderId="0" xfId="0" applyAlignment="1">
      <alignment horizontal="left" vertical="center" indent="5"/>
    </xf>
    <xf numFmtId="0" fontId="1" fillId="0" borderId="0" xfId="0" applyFont="1" applyAlignment="1">
      <alignment vertical="center"/>
    </xf>
    <xf numFmtId="0" fontId="0" fillId="0" borderId="0" xfId="0" applyAlignment="1">
      <alignment horizontal="left" vertical="center" indent="8"/>
    </xf>
    <xf numFmtId="0" fontId="32" fillId="0" borderId="0" xfId="0" applyFont="1" applyAlignment="1">
      <alignment horizontal="left" vertical="center" indent="8"/>
    </xf>
    <xf numFmtId="0" fontId="40" fillId="0" borderId="0" xfId="6" applyAlignment="1">
      <alignment horizontal="left" vertical="center" indent="8"/>
    </xf>
    <xf numFmtId="0" fontId="33" fillId="0" borderId="0" xfId="0" applyFont="1" applyAlignment="1">
      <alignment vertical="center"/>
    </xf>
    <xf numFmtId="0" fontId="26" fillId="0" borderId="0" xfId="0" applyFont="1" applyAlignment="1">
      <alignment horizontal="left" vertical="center" indent="8"/>
    </xf>
    <xf numFmtId="0" fontId="35" fillId="0" borderId="0" xfId="0" applyFont="1" applyAlignment="1">
      <alignment horizontal="left" vertical="center" indent="8"/>
    </xf>
    <xf numFmtId="0" fontId="0" fillId="0" borderId="11" xfId="0" applyBorder="1"/>
    <xf numFmtId="0" fontId="0" fillId="0" borderId="11" xfId="0" applyBorder="1" applyAlignment="1">
      <alignment wrapText="1"/>
    </xf>
    <xf numFmtId="0" fontId="38" fillId="0" borderId="14" xfId="0" applyFont="1" applyBorder="1" applyAlignment="1">
      <alignment vertical="center" wrapText="1"/>
    </xf>
    <xf numFmtId="16" fontId="37" fillId="0" borderId="14" xfId="0" applyNumberFormat="1" applyFont="1" applyBorder="1" applyAlignment="1">
      <alignment horizontal="right" vertical="center"/>
    </xf>
    <xf numFmtId="0" fontId="37" fillId="0" borderId="14" xfId="0" applyFont="1" applyBorder="1" applyAlignment="1">
      <alignment horizontal="right" vertical="center"/>
    </xf>
    <xf numFmtId="0" fontId="37" fillId="0" borderId="14" xfId="0" applyFont="1" applyBorder="1" applyAlignment="1">
      <alignment vertical="center"/>
    </xf>
    <xf numFmtId="0" fontId="0" fillId="0" borderId="16" xfId="0" applyBorder="1"/>
    <xf numFmtId="0" fontId="41" fillId="0" borderId="0" xfId="0" applyFont="1" applyAlignment="1">
      <alignment vertical="center"/>
    </xf>
    <xf numFmtId="49" fontId="42" fillId="12" borderId="0" xfId="0" applyNumberFormat="1" applyFont="1" applyFill="1" applyAlignment="1">
      <alignment horizontal="left" vertical="center"/>
    </xf>
    <xf numFmtId="0" fontId="42" fillId="12" borderId="0" xfId="0" applyFont="1" applyFill="1" applyAlignment="1">
      <alignment horizontal="center" vertical="center"/>
    </xf>
    <xf numFmtId="0" fontId="42" fillId="12" borderId="0" xfId="0" applyFont="1" applyFill="1" applyAlignment="1">
      <alignment horizontal="left" vertical="center"/>
    </xf>
    <xf numFmtId="0" fontId="43" fillId="9" borderId="0" xfId="7" applyFont="1" applyFill="1" applyAlignment="1">
      <alignment horizontal="center"/>
    </xf>
    <xf numFmtId="0" fontId="43" fillId="9" borderId="0" xfId="8" applyFont="1" applyFill="1" applyAlignment="1">
      <alignment horizontal="center"/>
    </xf>
    <xf numFmtId="0" fontId="25" fillId="9" borderId="0" xfId="9" applyFont="1" applyFill="1" applyAlignment="1">
      <alignment horizontal="center"/>
    </xf>
    <xf numFmtId="49" fontId="0" fillId="0" borderId="0" xfId="0" applyNumberFormat="1"/>
    <xf numFmtId="0" fontId="24" fillId="9" borderId="2" xfId="10" applyFill="1" applyBorder="1" applyAlignment="1">
      <alignment horizontal="center"/>
    </xf>
    <xf numFmtId="0" fontId="24" fillId="0" borderId="3" xfId="10" applyBorder="1" applyAlignment="1">
      <alignment wrapText="1"/>
    </xf>
    <xf numFmtId="0" fontId="25" fillId="9" borderId="2" xfId="11" applyFont="1" applyFill="1" applyBorder="1" applyAlignment="1">
      <alignment horizontal="center"/>
    </xf>
    <xf numFmtId="0" fontId="40" fillId="0" borderId="0" xfId="6"/>
    <xf numFmtId="0" fontId="25" fillId="9" borderId="2" xfId="12" applyFont="1" applyFill="1" applyBorder="1" applyAlignment="1">
      <alignment horizontal="center"/>
    </xf>
    <xf numFmtId="0" fontId="25" fillId="0" borderId="3" xfId="8" applyFont="1" applyBorder="1"/>
    <xf numFmtId="0" fontId="25" fillId="0" borderId="3" xfId="8" applyFont="1" applyBorder="1" applyAlignment="1">
      <alignment horizontal="right"/>
    </xf>
    <xf numFmtId="0" fontId="36" fillId="0" borderId="0" xfId="0" applyFont="1"/>
    <xf numFmtId="0" fontId="0" fillId="0" borderId="18" xfId="0" applyBorder="1"/>
    <xf numFmtId="164" fontId="0" fillId="10" borderId="19" xfId="0" applyNumberFormat="1" applyFill="1" applyBorder="1" applyAlignment="1">
      <alignment horizontal="center"/>
    </xf>
    <xf numFmtId="164" fontId="0" fillId="0" borderId="19" xfId="0" applyNumberFormat="1" applyBorder="1" applyAlignment="1">
      <alignment horizontal="center"/>
    </xf>
    <xf numFmtId="164" fontId="0" fillId="0" borderId="20" xfId="0" applyNumberFormat="1" applyBorder="1" applyAlignment="1">
      <alignment horizontal="center"/>
    </xf>
    <xf numFmtId="165" fontId="0" fillId="10" borderId="19" xfId="0" applyNumberFormat="1" applyFill="1" applyBorder="1" applyAlignment="1">
      <alignment horizontal="center"/>
    </xf>
    <xf numFmtId="165" fontId="0" fillId="0" borderId="19" xfId="0" applyNumberFormat="1" applyBorder="1" applyAlignment="1">
      <alignment horizontal="center"/>
    </xf>
    <xf numFmtId="165" fontId="0" fillId="0" borderId="20" xfId="0" applyNumberFormat="1" applyBorder="1" applyAlignment="1">
      <alignment horizontal="center"/>
    </xf>
    <xf numFmtId="165" fontId="0" fillId="13" borderId="19" xfId="0" applyNumberFormat="1" applyFill="1" applyBorder="1" applyAlignment="1">
      <alignment horizontal="center"/>
    </xf>
    <xf numFmtId="0" fontId="0" fillId="0" borderId="21"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9" xfId="0" applyBorder="1"/>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31" xfId="0" applyBorder="1" applyAlignment="1">
      <alignment horizontal="center" vertical="center" wrapText="1"/>
    </xf>
    <xf numFmtId="0" fontId="0" fillId="0" borderId="33" xfId="0" applyBorder="1"/>
    <xf numFmtId="0" fontId="0" fillId="0" borderId="34" xfId="0" applyBorder="1" applyAlignment="1">
      <alignment vertical="center"/>
    </xf>
    <xf numFmtId="0" fontId="0" fillId="0" borderId="35" xfId="0" applyBorder="1"/>
    <xf numFmtId="0" fontId="0" fillId="0" borderId="34" xfId="0" applyBorder="1"/>
    <xf numFmtId="0" fontId="0" fillId="0" borderId="32" xfId="0" applyBorder="1" applyAlignment="1">
      <alignment horizontal="center"/>
    </xf>
    <xf numFmtId="164" fontId="0" fillId="0" borderId="32" xfId="0" applyNumberFormat="1"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1"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30"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173" fontId="0" fillId="0" borderId="18" xfId="0" applyNumberFormat="1" applyBorder="1" applyAlignment="1">
      <alignment horizontal="center"/>
    </xf>
    <xf numFmtId="173" fontId="0" fillId="0" borderId="7" xfId="0" applyNumberFormat="1" applyBorder="1" applyAlignment="1">
      <alignment horizontal="center"/>
    </xf>
    <xf numFmtId="173" fontId="0" fillId="0" borderId="28" xfId="0" applyNumberFormat="1" applyBorder="1" applyAlignment="1">
      <alignment horizontal="center"/>
    </xf>
    <xf numFmtId="173" fontId="0" fillId="0" borderId="25" xfId="0" applyNumberFormat="1" applyBorder="1" applyAlignment="1">
      <alignment horizontal="center"/>
    </xf>
    <xf numFmtId="173" fontId="0" fillId="0" borderId="29" xfId="0" applyNumberFormat="1" applyBorder="1" applyAlignment="1">
      <alignment horizontal="center"/>
    </xf>
    <xf numFmtId="173" fontId="0" fillId="0" borderId="26" xfId="0" applyNumberFormat="1" applyBorder="1" applyAlignment="1">
      <alignment horizontal="center"/>
    </xf>
    <xf numFmtId="173" fontId="0" fillId="0" borderId="22" xfId="0" applyNumberFormat="1" applyBorder="1"/>
    <xf numFmtId="173" fontId="0" fillId="0" borderId="23" xfId="0" applyNumberFormat="1" applyBorder="1"/>
    <xf numFmtId="164" fontId="0" fillId="0" borderId="28" xfId="0" applyNumberFormat="1" applyBorder="1" applyAlignment="1">
      <alignment horizontal="center"/>
    </xf>
    <xf numFmtId="164" fontId="0" fillId="0" borderId="29" xfId="0" applyNumberFormat="1" applyBorder="1" applyAlignment="1">
      <alignment horizontal="center"/>
    </xf>
    <xf numFmtId="164" fontId="0" fillId="0" borderId="0" xfId="0" applyNumberFormat="1" applyAlignment="1">
      <alignment horizontal="right"/>
    </xf>
    <xf numFmtId="2" fontId="0" fillId="0" borderId="0" xfId="0" applyNumberFormat="1" applyAlignment="1">
      <alignment horizontal="right"/>
    </xf>
    <xf numFmtId="0" fontId="0" fillId="0" borderId="19" xfId="0" applyBorder="1"/>
    <xf numFmtId="0" fontId="0" fillId="0" borderId="0" xfId="0" applyAlignment="1">
      <alignment horizontal="center" vertical="center"/>
    </xf>
    <xf numFmtId="0" fontId="0" fillId="0" borderId="15" xfId="0" applyBorder="1"/>
    <xf numFmtId="0" fontId="38" fillId="0" borderId="12" xfId="0" applyFont="1" applyBorder="1" applyAlignment="1">
      <alignment vertical="center" wrapText="1"/>
    </xf>
    <xf numFmtId="0" fontId="0" fillId="0" borderId="12" xfId="0" applyBorder="1" applyAlignment="1">
      <alignment wrapText="1"/>
    </xf>
    <xf numFmtId="0" fontId="36" fillId="0" borderId="0" xfId="0" applyFont="1" applyAlignment="1">
      <alignment vertical="center"/>
    </xf>
    <xf numFmtId="0" fontId="0" fillId="0" borderId="14" xfId="0" applyBorder="1"/>
    <xf numFmtId="0" fontId="0" fillId="0" borderId="0" xfId="0" applyAlignment="1">
      <alignment horizontal="center" vertical="center"/>
    </xf>
    <xf numFmtId="0" fontId="37" fillId="0" borderId="17" xfId="0" applyFont="1" applyBorder="1" applyAlignment="1">
      <alignment vertical="center"/>
    </xf>
    <xf numFmtId="0" fontId="37" fillId="0" borderId="13" xfId="0" applyFont="1" applyBorder="1" applyAlignment="1">
      <alignment vertical="center"/>
    </xf>
    <xf numFmtId="0" fontId="37" fillId="0" borderId="12" xfId="0" applyFont="1" applyBorder="1" applyAlignment="1">
      <alignment vertical="center"/>
    </xf>
    <xf numFmtId="0" fontId="0" fillId="0" borderId="17" xfId="0" applyBorder="1"/>
    <xf numFmtId="0" fontId="0" fillId="0" borderId="13" xfId="0" applyBorder="1"/>
    <xf numFmtId="0" fontId="0" fillId="0" borderId="12" xfId="0" applyBorder="1"/>
    <xf numFmtId="0" fontId="0" fillId="0" borderId="10" xfId="0" applyBorder="1"/>
    <xf numFmtId="0" fontId="0" fillId="0" borderId="0" xfId="0"/>
    <xf numFmtId="0" fontId="38" fillId="0" borderId="17" xfId="0" applyFont="1" applyBorder="1" applyAlignment="1">
      <alignment horizontal="left" vertical="center" wrapText="1" indent="3"/>
    </xf>
    <xf numFmtId="0" fontId="38" fillId="0" borderId="12" xfId="0" applyFont="1" applyBorder="1" applyAlignment="1">
      <alignment horizontal="left" vertical="center" wrapText="1" indent="3"/>
    </xf>
    <xf numFmtId="0" fontId="38" fillId="0" borderId="17" xfId="0" applyFont="1" applyBorder="1" applyAlignment="1">
      <alignment vertical="center" wrapText="1"/>
    </xf>
    <xf numFmtId="0" fontId="38" fillId="0" borderId="12" xfId="0" applyFont="1" applyBorder="1" applyAlignment="1">
      <alignment vertical="center" wrapText="1"/>
    </xf>
    <xf numFmtId="0" fontId="38" fillId="0" borderId="13" xfId="0" applyFont="1" applyBorder="1" applyAlignment="1">
      <alignment vertical="center" wrapText="1"/>
    </xf>
    <xf numFmtId="0" fontId="0" fillId="0" borderId="17" xfId="0" applyBorder="1" applyAlignment="1">
      <alignment wrapText="1"/>
    </xf>
    <xf numFmtId="0" fontId="0" fillId="0" borderId="13" xfId="0" applyBorder="1" applyAlignment="1">
      <alignment wrapText="1"/>
    </xf>
    <xf numFmtId="0" fontId="0" fillId="0" borderId="12" xfId="0" applyBorder="1" applyAlignment="1">
      <alignment wrapText="1"/>
    </xf>
    <xf numFmtId="0" fontId="36" fillId="0" borderId="0" xfId="0" applyFont="1" applyAlignment="1">
      <alignment vertical="center"/>
    </xf>
    <xf numFmtId="0" fontId="0" fillId="0" borderId="15" xfId="0" applyBorder="1"/>
    <xf numFmtId="0" fontId="0" fillId="0" borderId="14" xfId="0" applyBorder="1"/>
    <xf numFmtId="0" fontId="37" fillId="0" borderId="17" xfId="0" applyFont="1" applyBorder="1" applyAlignment="1">
      <alignment vertical="center" wrapText="1"/>
    </xf>
    <xf numFmtId="0" fontId="37" fillId="0" borderId="13" xfId="0" applyFont="1" applyBorder="1" applyAlignment="1">
      <alignment vertical="center" wrapText="1"/>
    </xf>
    <xf numFmtId="0" fontId="37" fillId="0" borderId="12" xfId="0" applyFont="1" applyBorder="1" applyAlignment="1">
      <alignment vertical="center" wrapText="1"/>
    </xf>
    <xf numFmtId="0" fontId="37" fillId="0" borderId="17" xfId="0" applyFont="1" applyBorder="1" applyAlignment="1">
      <alignment horizontal="right" vertical="center"/>
    </xf>
    <xf numFmtId="0" fontId="37" fillId="0" borderId="13" xfId="0" applyFont="1" applyBorder="1" applyAlignment="1">
      <alignment horizontal="right" vertical="center"/>
    </xf>
    <xf numFmtId="0" fontId="37" fillId="0" borderId="12" xfId="0" applyFont="1" applyBorder="1" applyAlignment="1">
      <alignment horizontal="right" vertical="center"/>
    </xf>
    <xf numFmtId="0" fontId="0" fillId="0" borderId="10" xfId="0" applyBorder="1" applyAlignment="1">
      <alignment vertical="center" wrapText="1"/>
    </xf>
    <xf numFmtId="0" fontId="0" fillId="0" borderId="0" xfId="0" applyAlignment="1">
      <alignment vertical="center" wrapText="1"/>
    </xf>
    <xf numFmtId="0" fontId="37" fillId="0" borderId="17" xfId="0" applyFont="1" applyBorder="1" applyAlignment="1">
      <alignment horizontal="center" vertical="center"/>
    </xf>
    <xf numFmtId="0" fontId="37" fillId="0" borderId="12" xfId="0" applyFont="1" applyBorder="1" applyAlignment="1">
      <alignment horizontal="center" vertical="center"/>
    </xf>
    <xf numFmtId="0" fontId="39" fillId="0" borderId="17" xfId="0" applyFont="1" applyBorder="1" applyAlignment="1">
      <alignment vertical="center"/>
    </xf>
    <xf numFmtId="0" fontId="39" fillId="0" borderId="13" xfId="0" applyFont="1" applyBorder="1" applyAlignment="1">
      <alignment vertical="center"/>
    </xf>
    <xf numFmtId="0" fontId="39" fillId="0" borderId="12" xfId="0" applyFont="1" applyBorder="1" applyAlignment="1">
      <alignment vertical="center"/>
    </xf>
    <xf numFmtId="0" fontId="39" fillId="0" borderId="17" xfId="0" applyFont="1" applyBorder="1" applyAlignment="1">
      <alignment horizontal="right" vertical="center"/>
    </xf>
    <xf numFmtId="0" fontId="39" fillId="0" borderId="13" xfId="0" applyFont="1" applyBorder="1" applyAlignment="1">
      <alignment horizontal="right" vertical="center"/>
    </xf>
    <xf numFmtId="0" fontId="39" fillId="0" borderId="12" xfId="0" applyFont="1" applyBorder="1" applyAlignment="1">
      <alignment horizontal="right" vertical="center"/>
    </xf>
  </cellXfs>
  <cellStyles count="13">
    <cellStyle name="Comma" xfId="2" builtinId="3"/>
    <cellStyle name="Hyperlink" xfId="6" builtinId="8"/>
    <cellStyle name="Normal" xfId="0" builtinId="0"/>
    <cellStyle name="Normal 2" xfId="3" xr:uid="{D1767104-395E-487C-B08F-F51591BD3F1E}"/>
    <cellStyle name="Normal_Oxides" xfId="5" xr:uid="{527D6F42-408D-40A3-B72F-CD4050222181}"/>
    <cellStyle name="Normal_profile meta data" xfId="7" xr:uid="{54012DE9-0C3D-40F6-BA16-C1D964C5B505}"/>
    <cellStyle name="Normal_PROFILE_REFERENCE_CROSSWALK" xfId="12" xr:uid="{37A54135-D1EE-4848-BFAF-9469A3BF53D9}"/>
    <cellStyle name="Normal_PROFILES" xfId="8" xr:uid="{410E7B54-D504-485C-A147-2D1E5CF3EAF4}"/>
    <cellStyle name="Normal_PROFILES_1" xfId="9" xr:uid="{A4434B85-5A38-48EC-B9D0-07367D94DDFB}"/>
    <cellStyle name="Normal_REFERENCES" xfId="11" xr:uid="{8703735C-0AC1-4108-984A-4B5E5EBA777E}"/>
    <cellStyle name="Normal_Sheet6" xfId="4" xr:uid="{B4C10700-DC38-4311-BCCE-4063A0553EA2}"/>
    <cellStyle name="Normal_SPECIES" xfId="10" xr:uid="{1B80B33F-1B24-4E25-A82C-161A527A1317}"/>
    <cellStyle name="Percent" xfId="1" builtinId="5"/>
  </cellStyles>
  <dxfs count="58">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00FF00"/>
      <color rgb="FFFFFFCC"/>
      <color rgb="FFFFFF99"/>
      <color rgb="FFCC00FF"/>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Sum of Elements vs PM Mass</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5329739551786795"/>
                  <c:y val="-0.1569951799213829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'Filter Weights'!$EO$2:$EO$24</c:f>
              <c:numCache>
                <c:formatCode>0.000</c:formatCode>
                <c:ptCount val="23"/>
                <c:pt idx="1">
                  <c:v>23.141270298905123</c:v>
                </c:pt>
                <c:pt idx="2">
                  <c:v>4.8106554047586396</c:v>
                </c:pt>
                <c:pt idx="3">
                  <c:v>25.511620205024126</c:v>
                </c:pt>
                <c:pt idx="4">
                  <c:v>3.4047903372420301</c:v>
                </c:pt>
                <c:pt idx="5">
                  <c:v>20.34520975412298</c:v>
                </c:pt>
                <c:pt idx="6">
                  <c:v>3.7012220633565023</c:v>
                </c:pt>
                <c:pt idx="7">
                  <c:v>30.215459569406537</c:v>
                </c:pt>
                <c:pt idx="8">
                  <c:v>1.8930613103945104</c:v>
                </c:pt>
                <c:pt idx="9">
                  <c:v>20.408923269462424</c:v>
                </c:pt>
                <c:pt idx="10">
                  <c:v>5.8029201116581079</c:v>
                </c:pt>
                <c:pt idx="11">
                  <c:v>24.070333235224926</c:v>
                </c:pt>
                <c:pt idx="12">
                  <c:v>8.50703413296009</c:v>
                </c:pt>
                <c:pt idx="13">
                  <c:v>6.0371347281525969</c:v>
                </c:pt>
                <c:pt idx="14">
                  <c:v>2.6984801672793939</c:v>
                </c:pt>
                <c:pt idx="15">
                  <c:v>26.354975576761277</c:v>
                </c:pt>
                <c:pt idx="16">
                  <c:v>0.31813923706917063</c:v>
                </c:pt>
                <c:pt idx="17">
                  <c:v>24.159797760572182</c:v>
                </c:pt>
                <c:pt idx="18">
                  <c:v>0.48707984155591122</c:v>
                </c:pt>
                <c:pt idx="19">
                  <c:v>10.070924802683912</c:v>
                </c:pt>
                <c:pt idx="20">
                  <c:v>0.44300611281516655</c:v>
                </c:pt>
                <c:pt idx="21">
                  <c:v>7.701914164385407</c:v>
                </c:pt>
                <c:pt idx="22">
                  <c:v>2.6768028183828521</c:v>
                </c:pt>
              </c:numCache>
            </c:numRef>
          </c:xVal>
          <c:yVal>
            <c:numRef>
              <c:f>'Filter Weights'!$EN$2:$EN$24</c:f>
              <c:numCache>
                <c:formatCode>0.000</c:formatCode>
                <c:ptCount val="23"/>
                <c:pt idx="1">
                  <c:v>15.279965000153222</c:v>
                </c:pt>
                <c:pt idx="2">
                  <c:v>2.619880042375097</c:v>
                </c:pt>
                <c:pt idx="3">
                  <c:v>13.169114818895819</c:v>
                </c:pt>
                <c:pt idx="4">
                  <c:v>1.673429751613946</c:v>
                </c:pt>
                <c:pt idx="5">
                  <c:v>12.044373795252373</c:v>
                </c:pt>
                <c:pt idx="6">
                  <c:v>1.9622546044442026</c:v>
                </c:pt>
                <c:pt idx="7">
                  <c:v>17.766507448541041</c:v>
                </c:pt>
                <c:pt idx="8">
                  <c:v>0.98438050094159835</c:v>
                </c:pt>
                <c:pt idx="9">
                  <c:v>10.948169827127433</c:v>
                </c:pt>
                <c:pt idx="10">
                  <c:v>2.9401675688406299</c:v>
                </c:pt>
                <c:pt idx="11">
                  <c:v>13.005066061138354</c:v>
                </c:pt>
                <c:pt idx="12">
                  <c:v>4.3489059337576847</c:v>
                </c:pt>
                <c:pt idx="13">
                  <c:v>8.667060050089507</c:v>
                </c:pt>
                <c:pt idx="14">
                  <c:v>0.76853186807242113</c:v>
                </c:pt>
                <c:pt idx="15">
                  <c:v>15.738683388252248</c:v>
                </c:pt>
                <c:pt idx="16">
                  <c:v>0.16750208523970025</c:v>
                </c:pt>
                <c:pt idx="17">
                  <c:v>15.846431983568367</c:v>
                </c:pt>
                <c:pt idx="18">
                  <c:v>0.28171292028933087</c:v>
                </c:pt>
                <c:pt idx="19">
                  <c:v>5.625744738522263</c:v>
                </c:pt>
                <c:pt idx="20">
                  <c:v>0.23288536587759229</c:v>
                </c:pt>
                <c:pt idx="21">
                  <c:v>4.0936121167610864</c:v>
                </c:pt>
                <c:pt idx="22">
                  <c:v>1.3159448591485323</c:v>
                </c:pt>
              </c:numCache>
            </c:numRef>
          </c:yVal>
          <c:smooth val="0"/>
          <c:extLst>
            <c:ext xmlns:c16="http://schemas.microsoft.com/office/drawing/2014/chart" uri="{C3380CC4-5D6E-409C-BE32-E72D297353CC}">
              <c16:uniqueId val="{00000000-C149-4C98-8DC7-BD3E4DCD6B39}"/>
            </c:ext>
          </c:extLst>
        </c:ser>
        <c:dLbls>
          <c:showLegendKey val="0"/>
          <c:showVal val="0"/>
          <c:showCatName val="0"/>
          <c:showSerName val="0"/>
          <c:showPercent val="0"/>
          <c:showBubbleSize val="0"/>
        </c:dLbls>
        <c:axId val="1328133615"/>
        <c:axId val="1328142767"/>
      </c:scatterChart>
      <c:valAx>
        <c:axId val="132813361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Teflon PM2.5 - bck (mg/m3)</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8142767"/>
        <c:crosses val="autoZero"/>
        <c:crossBetween val="midCat"/>
      </c:valAx>
      <c:valAx>
        <c:axId val="132814276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Sum of Elements - bck (mg/m3)</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813361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 CO (ppm)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'Phase CEMS VOC Concentration'!$E$52</c:f>
              <c:strCache>
                <c:ptCount val="1"/>
                <c:pt idx="0">
                  <c:v>Spruce</c:v>
                </c:pt>
              </c:strCache>
            </c:strRef>
          </c:tx>
          <c:spPr>
            <a:solidFill>
              <a:schemeClr val="accent1"/>
            </a:solidFill>
            <a:ln>
              <a:noFill/>
            </a:ln>
            <a:effectLst/>
          </c:spPr>
          <c:invertIfNegative val="0"/>
          <c:errBars>
            <c:errBarType val="both"/>
            <c:errValType val="cust"/>
            <c:noEndCap val="0"/>
            <c:plus>
              <c:numRef>
                <c:f>'Phase CEMS VOC Concentration'!$K$60:$K$62</c:f>
                <c:numCache>
                  <c:formatCode>General</c:formatCode>
                  <c:ptCount val="3"/>
                  <c:pt idx="0">
                    <c:v>23.36589582632493</c:v>
                  </c:pt>
                  <c:pt idx="1">
                    <c:v>9.8550197778847721</c:v>
                  </c:pt>
                  <c:pt idx="2">
                    <c:v>4.4797368910833848</c:v>
                  </c:pt>
                </c:numCache>
              </c:numRef>
            </c:plus>
            <c:minus>
              <c:numRef>
                <c:f>'Phase CEMS VOC Concentration'!$K$60:$K$62</c:f>
                <c:numCache>
                  <c:formatCode>General</c:formatCode>
                  <c:ptCount val="3"/>
                  <c:pt idx="0">
                    <c:v>23.36589582632493</c:v>
                  </c:pt>
                  <c:pt idx="1">
                    <c:v>9.8550197778847721</c:v>
                  </c:pt>
                  <c:pt idx="2">
                    <c:v>4.4797368910833848</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Concentration'!$K$52:$K$54</c:f>
              <c:numCache>
                <c:formatCode>0.00</c:formatCode>
                <c:ptCount val="3"/>
                <c:pt idx="0">
                  <c:v>126.88516666666665</c:v>
                </c:pt>
                <c:pt idx="1">
                  <c:v>19.083449999999999</c:v>
                </c:pt>
                <c:pt idx="2">
                  <c:v>18.728433333333331</c:v>
                </c:pt>
              </c:numCache>
            </c:numRef>
          </c:val>
          <c:extLst>
            <c:ext xmlns:c16="http://schemas.microsoft.com/office/drawing/2014/chart" uri="{C3380CC4-5D6E-409C-BE32-E72D297353CC}">
              <c16:uniqueId val="{00000000-087D-4046-955A-7962C0B7F5F1}"/>
            </c:ext>
          </c:extLst>
        </c:ser>
        <c:ser>
          <c:idx val="1"/>
          <c:order val="1"/>
          <c:tx>
            <c:strRef>
              <c:f>'Phase CEMS VOC Concentration'!$E$55</c:f>
              <c:strCache>
                <c:ptCount val="1"/>
                <c:pt idx="0">
                  <c:v>Birch</c:v>
                </c:pt>
              </c:strCache>
            </c:strRef>
          </c:tx>
          <c:spPr>
            <a:solidFill>
              <a:schemeClr val="accent2"/>
            </a:solidFill>
            <a:ln>
              <a:noFill/>
            </a:ln>
            <a:effectLst/>
          </c:spPr>
          <c:invertIfNegative val="0"/>
          <c:errBars>
            <c:errBarType val="both"/>
            <c:errValType val="cust"/>
            <c:noEndCap val="0"/>
            <c:plus>
              <c:numRef>
                <c:f>'Phase CEMS VOC Concentration'!$K$63:$K$65</c:f>
                <c:numCache>
                  <c:formatCode>General</c:formatCode>
                  <c:ptCount val="3"/>
                  <c:pt idx="0">
                    <c:v>52.434857756982588</c:v>
                  </c:pt>
                  <c:pt idx="1">
                    <c:v>0.19887506421363338</c:v>
                  </c:pt>
                  <c:pt idx="2">
                    <c:v>3.2881051328690831</c:v>
                  </c:pt>
                </c:numCache>
              </c:numRef>
            </c:plus>
            <c:minus>
              <c:numRef>
                <c:f>'Phase CEMS VOC Concentration'!$K$63:$K$65</c:f>
                <c:numCache>
                  <c:formatCode>General</c:formatCode>
                  <c:ptCount val="3"/>
                  <c:pt idx="0">
                    <c:v>52.434857756982588</c:v>
                  </c:pt>
                  <c:pt idx="1">
                    <c:v>0.19887506421363338</c:v>
                  </c:pt>
                  <c:pt idx="2">
                    <c:v>3.2881051328690831</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Concentration'!$K$55:$K$57</c:f>
              <c:numCache>
                <c:formatCode>0.00</c:formatCode>
                <c:ptCount val="3"/>
                <c:pt idx="0">
                  <c:v>125.70840000000001</c:v>
                </c:pt>
                <c:pt idx="1">
                  <c:v>22.970199999999998</c:v>
                </c:pt>
                <c:pt idx="2">
                  <c:v>8.0722599999999982</c:v>
                </c:pt>
              </c:numCache>
            </c:numRef>
          </c:val>
          <c:extLst>
            <c:ext xmlns:c16="http://schemas.microsoft.com/office/drawing/2014/chart" uri="{C3380CC4-5D6E-409C-BE32-E72D297353CC}">
              <c16:uniqueId val="{00000001-087D-4046-955A-7962C0B7F5F1}"/>
            </c:ext>
          </c:extLst>
        </c:ser>
        <c:dLbls>
          <c:showLegendKey val="0"/>
          <c:showVal val="0"/>
          <c:showCatName val="0"/>
          <c:showSerName val="0"/>
          <c:showPercent val="0"/>
          <c:showBubbleSize val="0"/>
        </c:dLbls>
        <c:gapWidth val="219"/>
        <c:overlap val="-27"/>
        <c:axId val="1634184016"/>
        <c:axId val="1634171120"/>
      </c:barChart>
      <c:catAx>
        <c:axId val="16341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71120"/>
        <c:crosses val="autoZero"/>
        <c:auto val="1"/>
        <c:lblAlgn val="ctr"/>
        <c:lblOffset val="100"/>
        <c:noMultiLvlLbl val="0"/>
      </c:catAx>
      <c:valAx>
        <c:axId val="163417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 (ppm)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84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 THC (ppm)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'Phase CEMS VOC Concentration'!$E$52</c:f>
              <c:strCache>
                <c:ptCount val="1"/>
                <c:pt idx="0">
                  <c:v>Spruce</c:v>
                </c:pt>
              </c:strCache>
            </c:strRef>
          </c:tx>
          <c:spPr>
            <a:solidFill>
              <a:schemeClr val="accent1"/>
            </a:solidFill>
            <a:ln>
              <a:noFill/>
            </a:ln>
            <a:effectLst/>
          </c:spPr>
          <c:invertIfNegative val="0"/>
          <c:errBars>
            <c:errBarType val="both"/>
            <c:errValType val="cust"/>
            <c:noEndCap val="0"/>
            <c:plus>
              <c:numRef>
                <c:f>'Phase CEMS VOC Concentration'!$L$60:$L$62</c:f>
                <c:numCache>
                  <c:formatCode>General</c:formatCode>
                  <c:ptCount val="3"/>
                  <c:pt idx="0">
                    <c:v>13.742837845462105</c:v>
                  </c:pt>
                  <c:pt idx="1">
                    <c:v>9.9938413587235715</c:v>
                  </c:pt>
                  <c:pt idx="2">
                    <c:v>3.7741630979596006</c:v>
                  </c:pt>
                </c:numCache>
              </c:numRef>
            </c:plus>
            <c:minus>
              <c:numRef>
                <c:f>'Phase CEMS VOC Concentration'!$L$60:$L$62</c:f>
                <c:numCache>
                  <c:formatCode>General</c:formatCode>
                  <c:ptCount val="3"/>
                  <c:pt idx="0">
                    <c:v>13.742837845462105</c:v>
                  </c:pt>
                  <c:pt idx="1">
                    <c:v>9.9938413587235715</c:v>
                  </c:pt>
                  <c:pt idx="2">
                    <c:v>3.7741630979596006</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Concentration'!$L$52:$L$54</c:f>
              <c:numCache>
                <c:formatCode>0.00</c:formatCode>
                <c:ptCount val="3"/>
                <c:pt idx="0">
                  <c:v>84.451733333333337</c:v>
                </c:pt>
                <c:pt idx="1">
                  <c:v>46.877133333333326</c:v>
                </c:pt>
                <c:pt idx="2">
                  <c:v>39.137599999999999</c:v>
                </c:pt>
              </c:numCache>
            </c:numRef>
          </c:val>
          <c:extLst>
            <c:ext xmlns:c16="http://schemas.microsoft.com/office/drawing/2014/chart" uri="{C3380CC4-5D6E-409C-BE32-E72D297353CC}">
              <c16:uniqueId val="{00000000-9897-4807-BCEC-1344CEBB4714}"/>
            </c:ext>
          </c:extLst>
        </c:ser>
        <c:ser>
          <c:idx val="1"/>
          <c:order val="1"/>
          <c:tx>
            <c:strRef>
              <c:f>'Phase CEMS VOC Concentration'!$E$55</c:f>
              <c:strCache>
                <c:ptCount val="1"/>
                <c:pt idx="0">
                  <c:v>Birch</c:v>
                </c:pt>
              </c:strCache>
            </c:strRef>
          </c:tx>
          <c:spPr>
            <a:solidFill>
              <a:schemeClr val="accent2"/>
            </a:solidFill>
            <a:ln>
              <a:noFill/>
            </a:ln>
            <a:effectLst/>
          </c:spPr>
          <c:invertIfNegative val="0"/>
          <c:errBars>
            <c:errBarType val="both"/>
            <c:errValType val="cust"/>
            <c:noEndCap val="0"/>
            <c:plus>
              <c:numRef>
                <c:f>'Phase CEMS VOC Concentration'!$L$63:$L$65</c:f>
                <c:numCache>
                  <c:formatCode>General</c:formatCode>
                  <c:ptCount val="3"/>
                  <c:pt idx="0">
                    <c:v>48.359586106096891</c:v>
                  </c:pt>
                  <c:pt idx="1">
                    <c:v>0.20437901275530279</c:v>
                  </c:pt>
                  <c:pt idx="2">
                    <c:v>2.8791251084314107</c:v>
                  </c:pt>
                </c:numCache>
              </c:numRef>
            </c:plus>
            <c:minus>
              <c:numRef>
                <c:f>'Phase CEMS VOC Concentration'!$L$63:$L$65</c:f>
                <c:numCache>
                  <c:formatCode>General</c:formatCode>
                  <c:ptCount val="3"/>
                  <c:pt idx="0">
                    <c:v>48.359586106096891</c:v>
                  </c:pt>
                  <c:pt idx="1">
                    <c:v>0.20437901275530279</c:v>
                  </c:pt>
                  <c:pt idx="2">
                    <c:v>2.8791251084314107</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Concentration'!$L$55:$L$57</c:f>
              <c:numCache>
                <c:formatCode>0.00</c:formatCode>
                <c:ptCount val="3"/>
                <c:pt idx="0">
                  <c:v>92.260640000000009</c:v>
                </c:pt>
                <c:pt idx="1">
                  <c:v>29.2349</c:v>
                </c:pt>
                <c:pt idx="2">
                  <c:v>22.406199999999998</c:v>
                </c:pt>
              </c:numCache>
            </c:numRef>
          </c:val>
          <c:extLst>
            <c:ext xmlns:c16="http://schemas.microsoft.com/office/drawing/2014/chart" uri="{C3380CC4-5D6E-409C-BE32-E72D297353CC}">
              <c16:uniqueId val="{00000001-9897-4807-BCEC-1344CEBB4714}"/>
            </c:ext>
          </c:extLst>
        </c:ser>
        <c:dLbls>
          <c:showLegendKey val="0"/>
          <c:showVal val="0"/>
          <c:showCatName val="0"/>
          <c:showSerName val="0"/>
          <c:showPercent val="0"/>
          <c:showBubbleSize val="0"/>
        </c:dLbls>
        <c:gapWidth val="219"/>
        <c:overlap val="-27"/>
        <c:axId val="1634184016"/>
        <c:axId val="1634171120"/>
      </c:barChart>
      <c:catAx>
        <c:axId val="16341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71120"/>
        <c:crosses val="autoZero"/>
        <c:auto val="1"/>
        <c:lblAlgn val="ctr"/>
        <c:lblOffset val="100"/>
        <c:noMultiLvlLbl val="0"/>
      </c:catAx>
      <c:valAx>
        <c:axId val="163417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 (ppm)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84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 CH4 (ppm)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'Phase CEMS VOC Concentration'!$H$51</c:f>
              <c:strCache>
                <c:ptCount val="1"/>
                <c:pt idx="0">
                  <c:v>Chimney CO (%)</c:v>
                </c:pt>
              </c:strCache>
            </c:strRef>
          </c:tx>
          <c:spPr>
            <a:solidFill>
              <a:schemeClr val="accent1"/>
            </a:solidFill>
            <a:ln>
              <a:noFill/>
            </a:ln>
            <a:effectLst/>
          </c:spPr>
          <c:invertIfNegative val="0"/>
          <c:errBars>
            <c:errBarType val="both"/>
            <c:errValType val="cust"/>
            <c:noEndCap val="0"/>
            <c:plus>
              <c:numRef>
                <c:f>'Phase CEMS VOC Concentration'!$M$60:$M$62</c:f>
                <c:numCache>
                  <c:formatCode>General</c:formatCode>
                  <c:ptCount val="3"/>
                  <c:pt idx="0">
                    <c:v>1.4787706583510505</c:v>
                  </c:pt>
                  <c:pt idx="1">
                    <c:v>1.75695212323311</c:v>
                  </c:pt>
                  <c:pt idx="2">
                    <c:v>3.1871423948421236</c:v>
                  </c:pt>
                </c:numCache>
              </c:numRef>
            </c:plus>
            <c:minus>
              <c:numRef>
                <c:f>'Phase CEMS VOC Concentration'!$M$60:$M$62</c:f>
                <c:numCache>
                  <c:formatCode>General</c:formatCode>
                  <c:ptCount val="3"/>
                  <c:pt idx="0">
                    <c:v>1.4787706583510505</c:v>
                  </c:pt>
                  <c:pt idx="1">
                    <c:v>1.75695212323311</c:v>
                  </c:pt>
                  <c:pt idx="2">
                    <c:v>3.1871423948421236</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Concentration'!$M$52:$M$54</c:f>
              <c:numCache>
                <c:formatCode>0.00</c:formatCode>
                <c:ptCount val="3"/>
                <c:pt idx="0">
                  <c:v>17.1038</c:v>
                </c:pt>
                <c:pt idx="1">
                  <c:v>19.280333333333335</c:v>
                </c:pt>
                <c:pt idx="2">
                  <c:v>16.582750000000001</c:v>
                </c:pt>
              </c:numCache>
            </c:numRef>
          </c:val>
          <c:extLst>
            <c:ext xmlns:c16="http://schemas.microsoft.com/office/drawing/2014/chart" uri="{C3380CC4-5D6E-409C-BE32-E72D297353CC}">
              <c16:uniqueId val="{00000000-A1B7-4219-B0B0-9F51C8DB31A6}"/>
            </c:ext>
          </c:extLst>
        </c:ser>
        <c:ser>
          <c:idx val="1"/>
          <c:order val="1"/>
          <c:tx>
            <c:strRef>
              <c:f>'Phase CEMS VOC Concentration'!$E$55</c:f>
              <c:strCache>
                <c:ptCount val="1"/>
                <c:pt idx="0">
                  <c:v>Birch</c:v>
                </c:pt>
              </c:strCache>
            </c:strRef>
          </c:tx>
          <c:spPr>
            <a:solidFill>
              <a:schemeClr val="accent2"/>
            </a:solidFill>
            <a:ln>
              <a:noFill/>
            </a:ln>
            <a:effectLst/>
          </c:spPr>
          <c:invertIfNegative val="0"/>
          <c:errBars>
            <c:errBarType val="both"/>
            <c:errValType val="cust"/>
            <c:noEndCap val="0"/>
            <c:plus>
              <c:numRef>
                <c:f>'Phase CEMS VOC Concentration'!$M$63:$M$65</c:f>
                <c:numCache>
                  <c:formatCode>General</c:formatCode>
                  <c:ptCount val="3"/>
                  <c:pt idx="0">
                    <c:v>9.3495647720629282</c:v>
                  </c:pt>
                  <c:pt idx="1">
                    <c:v>3.0761063289219199E-2</c:v>
                  </c:pt>
                  <c:pt idx="2">
                    <c:v>0.84545048347020302</c:v>
                  </c:pt>
                </c:numCache>
              </c:numRef>
            </c:plus>
            <c:minus>
              <c:numRef>
                <c:f>'Phase CEMS VOC Concentration'!$M$63:$M$65</c:f>
                <c:numCache>
                  <c:formatCode>General</c:formatCode>
                  <c:ptCount val="3"/>
                  <c:pt idx="0">
                    <c:v>9.3495647720629282</c:v>
                  </c:pt>
                  <c:pt idx="1">
                    <c:v>3.0761063289219199E-2</c:v>
                  </c:pt>
                  <c:pt idx="2">
                    <c:v>0.84545048347020302</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Concentration'!$M$55:$M$57</c:f>
              <c:numCache>
                <c:formatCode>0.00</c:formatCode>
                <c:ptCount val="3"/>
                <c:pt idx="0">
                  <c:v>17.686719999999998</c:v>
                </c:pt>
                <c:pt idx="1">
                  <c:v>13.185499999999999</c:v>
                </c:pt>
                <c:pt idx="2">
                  <c:v>13.665799999999999</c:v>
                </c:pt>
              </c:numCache>
            </c:numRef>
          </c:val>
          <c:extLst>
            <c:ext xmlns:c16="http://schemas.microsoft.com/office/drawing/2014/chart" uri="{C3380CC4-5D6E-409C-BE32-E72D297353CC}">
              <c16:uniqueId val="{00000001-A1B7-4219-B0B0-9F51C8DB31A6}"/>
            </c:ext>
          </c:extLst>
        </c:ser>
        <c:dLbls>
          <c:showLegendKey val="0"/>
          <c:showVal val="0"/>
          <c:showCatName val="0"/>
          <c:showSerName val="0"/>
          <c:showPercent val="0"/>
          <c:showBubbleSize val="0"/>
        </c:dLbls>
        <c:gapWidth val="219"/>
        <c:overlap val="-27"/>
        <c:axId val="1634184016"/>
        <c:axId val="1634171120"/>
      </c:barChart>
      <c:catAx>
        <c:axId val="16341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71120"/>
        <c:crosses val="autoZero"/>
        <c:auto val="1"/>
        <c:lblAlgn val="ctr"/>
        <c:lblOffset val="100"/>
        <c:noMultiLvlLbl val="0"/>
      </c:catAx>
      <c:valAx>
        <c:axId val="163417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 (ppm)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84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 NOx (ppm)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'Phase CEMS VOC Concentration'!$H$51</c:f>
              <c:strCache>
                <c:ptCount val="1"/>
                <c:pt idx="0">
                  <c:v>Chimney CO (%)</c:v>
                </c:pt>
              </c:strCache>
            </c:strRef>
          </c:tx>
          <c:spPr>
            <a:solidFill>
              <a:schemeClr val="accent1"/>
            </a:solidFill>
            <a:ln>
              <a:noFill/>
            </a:ln>
            <a:effectLst/>
          </c:spPr>
          <c:invertIfNegative val="0"/>
          <c:errBars>
            <c:errBarType val="both"/>
            <c:errValType val="cust"/>
            <c:noEndCap val="0"/>
            <c:plus>
              <c:numRef>
                <c:f>'Phase CEMS VOC Concentration'!$N$60:$N$62</c:f>
                <c:numCache>
                  <c:formatCode>General</c:formatCode>
                  <c:ptCount val="3"/>
                  <c:pt idx="0">
                    <c:v>0.38540244408496649</c:v>
                  </c:pt>
                  <c:pt idx="1">
                    <c:v>0.10217531080125516</c:v>
                  </c:pt>
                  <c:pt idx="2">
                    <c:v>0.14194316572605165</c:v>
                  </c:pt>
                </c:numCache>
              </c:numRef>
            </c:plus>
            <c:minus>
              <c:numRef>
                <c:f>'Phase CEMS VOC Concentration'!$N$60:$N$62</c:f>
                <c:numCache>
                  <c:formatCode>General</c:formatCode>
                  <c:ptCount val="3"/>
                  <c:pt idx="0">
                    <c:v>0.38540244408496649</c:v>
                  </c:pt>
                  <c:pt idx="1">
                    <c:v>0.10217531080125516</c:v>
                  </c:pt>
                  <c:pt idx="2">
                    <c:v>0.14194316572605165</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Concentration'!$N$52:$N$54</c:f>
              <c:numCache>
                <c:formatCode>0.00</c:formatCode>
                <c:ptCount val="3"/>
                <c:pt idx="0">
                  <c:v>1.7637533333333335</c:v>
                </c:pt>
                <c:pt idx="1">
                  <c:v>0.79770166666666675</c:v>
                </c:pt>
                <c:pt idx="2">
                  <c:v>0.47950133333333333</c:v>
                </c:pt>
              </c:numCache>
            </c:numRef>
          </c:val>
          <c:extLst>
            <c:ext xmlns:c16="http://schemas.microsoft.com/office/drawing/2014/chart" uri="{C3380CC4-5D6E-409C-BE32-E72D297353CC}">
              <c16:uniqueId val="{00000000-EAB0-4B68-9427-D6ADEB945E1B}"/>
            </c:ext>
          </c:extLst>
        </c:ser>
        <c:ser>
          <c:idx val="1"/>
          <c:order val="1"/>
          <c:tx>
            <c:strRef>
              <c:f>'Phase CEMS VOC Concentration'!$E$55</c:f>
              <c:strCache>
                <c:ptCount val="1"/>
                <c:pt idx="0">
                  <c:v>Birch</c:v>
                </c:pt>
              </c:strCache>
            </c:strRef>
          </c:tx>
          <c:spPr>
            <a:solidFill>
              <a:schemeClr val="accent2"/>
            </a:solidFill>
            <a:ln>
              <a:noFill/>
            </a:ln>
            <a:effectLst/>
          </c:spPr>
          <c:invertIfNegative val="0"/>
          <c:errBars>
            <c:errBarType val="both"/>
            <c:errValType val="cust"/>
            <c:noEndCap val="0"/>
            <c:plus>
              <c:numRef>
                <c:f>'Phase CEMS VOC Concentration'!$N$63:$N$65</c:f>
                <c:numCache>
                  <c:formatCode>General</c:formatCode>
                  <c:ptCount val="3"/>
                  <c:pt idx="0">
                    <c:v>0.49185124402607666</c:v>
                  </c:pt>
                  <c:pt idx="1">
                    <c:v>2.6693230454932999E-2</c:v>
                  </c:pt>
                  <c:pt idx="2">
                    <c:v>3.924969351897329E-2</c:v>
                  </c:pt>
                </c:numCache>
              </c:numRef>
            </c:plus>
            <c:minus>
              <c:numRef>
                <c:f>'Phase CEMS VOC Concentration'!$N$63:$N$65</c:f>
                <c:numCache>
                  <c:formatCode>General</c:formatCode>
                  <c:ptCount val="3"/>
                  <c:pt idx="0">
                    <c:v>0.49185124402607666</c:v>
                  </c:pt>
                  <c:pt idx="1">
                    <c:v>2.6693230454932999E-2</c:v>
                  </c:pt>
                  <c:pt idx="2">
                    <c:v>3.924969351897329E-2</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Concentration'!$N$55:$N$57</c:f>
              <c:numCache>
                <c:formatCode>0.00</c:formatCode>
                <c:ptCount val="3"/>
                <c:pt idx="0">
                  <c:v>1.5464300000000002</c:v>
                </c:pt>
                <c:pt idx="1">
                  <c:v>1.1845699999999999</c:v>
                </c:pt>
                <c:pt idx="2">
                  <c:v>0.89391366666666661</c:v>
                </c:pt>
              </c:numCache>
            </c:numRef>
          </c:val>
          <c:extLst>
            <c:ext xmlns:c16="http://schemas.microsoft.com/office/drawing/2014/chart" uri="{C3380CC4-5D6E-409C-BE32-E72D297353CC}">
              <c16:uniqueId val="{00000001-EAB0-4B68-9427-D6ADEB945E1B}"/>
            </c:ext>
          </c:extLst>
        </c:ser>
        <c:dLbls>
          <c:showLegendKey val="0"/>
          <c:showVal val="0"/>
          <c:showCatName val="0"/>
          <c:showSerName val="0"/>
          <c:showPercent val="0"/>
          <c:showBubbleSize val="0"/>
        </c:dLbls>
        <c:gapWidth val="219"/>
        <c:overlap val="-27"/>
        <c:axId val="1634184016"/>
        <c:axId val="1634171120"/>
      </c:barChart>
      <c:catAx>
        <c:axId val="16341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71120"/>
        <c:crosses val="autoZero"/>
        <c:auto val="1"/>
        <c:lblAlgn val="ctr"/>
        <c:lblOffset val="100"/>
        <c:noMultiLvlLbl val="0"/>
      </c:catAx>
      <c:valAx>
        <c:axId val="163417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 (ppm)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84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15089727515689"/>
          <c:y val="4.9287883577573556E-2"/>
          <c:w val="0.78099207928787029"/>
          <c:h val="0.84676725111206452"/>
        </c:manualLayout>
      </c:layout>
      <c:barChart>
        <c:barDir val="col"/>
        <c:grouping val="clustered"/>
        <c:varyColors val="0"/>
        <c:ser>
          <c:idx val="0"/>
          <c:order val="0"/>
          <c:tx>
            <c:strRef>
              <c:f>'Phase Parameters'!$E$51</c:f>
              <c:strCache>
                <c:ptCount val="1"/>
                <c:pt idx="0">
                  <c:v>Spruce</c:v>
                </c:pt>
              </c:strCache>
            </c:strRef>
          </c:tx>
          <c:spPr>
            <a:solidFill>
              <a:schemeClr val="accent1"/>
            </a:solidFill>
            <a:ln>
              <a:noFill/>
            </a:ln>
            <a:effectLst/>
          </c:spPr>
          <c:invertIfNegative val="0"/>
          <c:errBars>
            <c:errBarType val="both"/>
            <c:errValType val="cust"/>
            <c:noEndCap val="0"/>
            <c:plus>
              <c:numRef>
                <c:f>'Phase Parameters'!$M$59:$M$61</c:f>
                <c:numCache>
                  <c:formatCode>General</c:formatCode>
                  <c:ptCount val="3"/>
                  <c:pt idx="0">
                    <c:v>8.2902275079557004</c:v>
                  </c:pt>
                  <c:pt idx="1">
                    <c:v>1.7340854563717454</c:v>
                  </c:pt>
                  <c:pt idx="2">
                    <c:v>1.757198574436025</c:v>
                  </c:pt>
                </c:numCache>
              </c:numRef>
            </c:plus>
            <c:minus>
              <c:numRef>
                <c:f>'Phase Parameters'!$M$59:$M$61</c:f>
                <c:numCache>
                  <c:formatCode>General</c:formatCode>
                  <c:ptCount val="3"/>
                  <c:pt idx="0">
                    <c:v>8.2902275079557004</c:v>
                  </c:pt>
                  <c:pt idx="1">
                    <c:v>1.7340854563717454</c:v>
                  </c:pt>
                  <c:pt idx="2">
                    <c:v>1.757198574436025</c:v>
                  </c:pt>
                </c:numCache>
              </c:numRef>
            </c:minus>
            <c:spPr>
              <a:noFill/>
              <a:ln w="9525" cap="flat" cmpd="sng" algn="ctr">
                <a:solidFill>
                  <a:schemeClr val="tx1">
                    <a:lumMod val="65000"/>
                    <a:lumOff val="35000"/>
                  </a:schemeClr>
                </a:solidFill>
                <a:round/>
              </a:ln>
              <a:effectLst/>
            </c:spPr>
          </c:errBars>
          <c:cat>
            <c:strRef>
              <c:f>'Phase Parameters'!$F$51:$F$53</c:f>
              <c:strCache>
                <c:ptCount val="3"/>
                <c:pt idx="0">
                  <c:v>Startup</c:v>
                </c:pt>
                <c:pt idx="1">
                  <c:v>High</c:v>
                </c:pt>
                <c:pt idx="2">
                  <c:v>Low</c:v>
                </c:pt>
              </c:strCache>
            </c:strRef>
          </c:cat>
          <c:val>
            <c:numRef>
              <c:f>'Phase Parameters'!$M$51:$M$53</c:f>
              <c:numCache>
                <c:formatCode>0.0</c:formatCode>
                <c:ptCount val="3"/>
                <c:pt idx="0">
                  <c:v>53.901416666666677</c:v>
                </c:pt>
                <c:pt idx="1">
                  <c:v>37.757100000000001</c:v>
                </c:pt>
                <c:pt idx="2">
                  <c:v>32.776400000000002</c:v>
                </c:pt>
              </c:numCache>
            </c:numRef>
          </c:val>
          <c:extLst>
            <c:ext xmlns:c16="http://schemas.microsoft.com/office/drawing/2014/chart" uri="{C3380CC4-5D6E-409C-BE32-E72D297353CC}">
              <c16:uniqueId val="{00000000-026B-4D74-AF4D-51EC79D0783D}"/>
            </c:ext>
          </c:extLst>
        </c:ser>
        <c:ser>
          <c:idx val="1"/>
          <c:order val="1"/>
          <c:tx>
            <c:strRef>
              <c:f>'Phase Parameters'!$E$54</c:f>
              <c:strCache>
                <c:ptCount val="1"/>
                <c:pt idx="0">
                  <c:v>Birch</c:v>
                </c:pt>
              </c:strCache>
            </c:strRef>
          </c:tx>
          <c:spPr>
            <a:solidFill>
              <a:schemeClr val="accent2"/>
            </a:solidFill>
            <a:ln>
              <a:noFill/>
            </a:ln>
            <a:effectLst/>
          </c:spPr>
          <c:invertIfNegative val="0"/>
          <c:errBars>
            <c:errBarType val="both"/>
            <c:errValType val="cust"/>
            <c:noEndCap val="0"/>
            <c:plus>
              <c:numRef>
                <c:f>'Phase Parameters'!$M$62:$M$64</c:f>
                <c:numCache>
                  <c:formatCode>General</c:formatCode>
                  <c:ptCount val="3"/>
                  <c:pt idx="0">
                    <c:v>7.1443477697408371</c:v>
                  </c:pt>
                  <c:pt idx="1">
                    <c:v>0.56745319190220578</c:v>
                  </c:pt>
                  <c:pt idx="2">
                    <c:v>0.60085108249326913</c:v>
                  </c:pt>
                </c:numCache>
              </c:numRef>
            </c:plus>
            <c:minus>
              <c:numRef>
                <c:f>'Phase Parameters'!$M$62:$M$64</c:f>
                <c:numCache>
                  <c:formatCode>General</c:formatCode>
                  <c:ptCount val="3"/>
                  <c:pt idx="0">
                    <c:v>7.1443477697408371</c:v>
                  </c:pt>
                  <c:pt idx="1">
                    <c:v>0.56745319190220578</c:v>
                  </c:pt>
                  <c:pt idx="2">
                    <c:v>0.60085108249326913</c:v>
                  </c:pt>
                </c:numCache>
              </c:numRef>
            </c:minus>
            <c:spPr>
              <a:noFill/>
              <a:ln w="9525" cap="flat" cmpd="sng" algn="ctr">
                <a:solidFill>
                  <a:schemeClr val="tx1">
                    <a:lumMod val="65000"/>
                    <a:lumOff val="35000"/>
                  </a:schemeClr>
                </a:solidFill>
                <a:round/>
              </a:ln>
              <a:effectLst/>
            </c:spPr>
          </c:errBars>
          <c:cat>
            <c:strRef>
              <c:f>'Phase Parameters'!$F$51:$F$53</c:f>
              <c:strCache>
                <c:ptCount val="3"/>
                <c:pt idx="0">
                  <c:v>Startup</c:v>
                </c:pt>
                <c:pt idx="1">
                  <c:v>High</c:v>
                </c:pt>
                <c:pt idx="2">
                  <c:v>Low</c:v>
                </c:pt>
              </c:strCache>
            </c:strRef>
          </c:cat>
          <c:val>
            <c:numRef>
              <c:f>'Phase Parameters'!$M$54:$M$56</c:f>
              <c:numCache>
                <c:formatCode>0.0</c:formatCode>
                <c:ptCount val="3"/>
                <c:pt idx="0">
                  <c:v>51.847200000000001</c:v>
                </c:pt>
                <c:pt idx="1">
                  <c:v>42.461550000000003</c:v>
                </c:pt>
                <c:pt idx="2">
                  <c:v>34.190766666666669</c:v>
                </c:pt>
              </c:numCache>
            </c:numRef>
          </c:val>
          <c:extLst>
            <c:ext xmlns:c16="http://schemas.microsoft.com/office/drawing/2014/chart" uri="{C3380CC4-5D6E-409C-BE32-E72D297353CC}">
              <c16:uniqueId val="{00000001-026B-4D74-AF4D-51EC79D0783D}"/>
            </c:ext>
          </c:extLst>
        </c:ser>
        <c:dLbls>
          <c:showLegendKey val="0"/>
          <c:showVal val="0"/>
          <c:showCatName val="0"/>
          <c:showSerName val="0"/>
          <c:showPercent val="0"/>
          <c:showBubbleSize val="0"/>
        </c:dLbls>
        <c:gapWidth val="219"/>
        <c:axId val="549962544"/>
        <c:axId val="549959920"/>
      </c:barChart>
      <c:catAx>
        <c:axId val="549962544"/>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9959920"/>
        <c:crosses val="autoZero"/>
        <c:auto val="1"/>
        <c:lblAlgn val="ctr"/>
        <c:lblOffset val="100"/>
        <c:noMultiLvlLbl val="0"/>
      </c:catAx>
      <c:valAx>
        <c:axId val="549959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Temp</a:t>
                </a:r>
                <a:r>
                  <a:rPr lang="en-US" baseline="0"/>
                  <a:t> 6"</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9962544"/>
        <c:crosses val="autoZero"/>
        <c:crossBetween val="between"/>
      </c:valAx>
      <c:spPr>
        <a:noFill/>
        <a:ln>
          <a:solidFill>
            <a:schemeClr val="bg1">
              <a:lumMod val="50000"/>
            </a:schemeClr>
          </a:solidFill>
        </a:ln>
        <a:effectLst/>
      </c:spPr>
    </c:plotArea>
    <c:legend>
      <c:legendPos val="r"/>
      <c:layout>
        <c:manualLayout>
          <c:xMode val="edge"/>
          <c:yMode val="edge"/>
          <c:x val="0.65618998870327772"/>
          <c:y val="8.3852908302662163E-2"/>
          <c:w val="0.14077249636968489"/>
          <c:h val="0.1512252466863865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15089727515689"/>
          <c:y val="4.9287883577573556E-2"/>
          <c:w val="0.78099207928787029"/>
          <c:h val="0.84676725111206452"/>
        </c:manualLayout>
      </c:layout>
      <c:barChart>
        <c:barDir val="col"/>
        <c:grouping val="clustered"/>
        <c:varyColors val="0"/>
        <c:ser>
          <c:idx val="0"/>
          <c:order val="0"/>
          <c:tx>
            <c:strRef>
              <c:f>'Phase Parameters'!$E$51</c:f>
              <c:strCache>
                <c:ptCount val="1"/>
                <c:pt idx="0">
                  <c:v>Spruce</c:v>
                </c:pt>
              </c:strCache>
            </c:strRef>
          </c:tx>
          <c:spPr>
            <a:solidFill>
              <a:schemeClr val="accent1"/>
            </a:solidFill>
            <a:ln>
              <a:noFill/>
            </a:ln>
            <a:effectLst/>
          </c:spPr>
          <c:invertIfNegative val="0"/>
          <c:errBars>
            <c:errBarType val="both"/>
            <c:errValType val="cust"/>
            <c:noEndCap val="0"/>
            <c:plus>
              <c:numRef>
                <c:f>'Phase Parameters'!$K$59:$K$61</c:f>
                <c:numCache>
                  <c:formatCode>General</c:formatCode>
                  <c:ptCount val="3"/>
                  <c:pt idx="0">
                    <c:v>1.1899431968106122</c:v>
                  </c:pt>
                  <c:pt idx="1">
                    <c:v>0.10495234658176228</c:v>
                  </c:pt>
                  <c:pt idx="2">
                    <c:v>0.33819437712447858</c:v>
                  </c:pt>
                </c:numCache>
              </c:numRef>
            </c:plus>
            <c:minus>
              <c:numRef>
                <c:f>'Phase Parameters'!$K$59:$K$61</c:f>
                <c:numCache>
                  <c:formatCode>General</c:formatCode>
                  <c:ptCount val="3"/>
                  <c:pt idx="0">
                    <c:v>1.1899431968106122</c:v>
                  </c:pt>
                  <c:pt idx="1">
                    <c:v>0.10495234658176228</c:v>
                  </c:pt>
                  <c:pt idx="2">
                    <c:v>0.33819437712447858</c:v>
                  </c:pt>
                </c:numCache>
              </c:numRef>
            </c:minus>
            <c:spPr>
              <a:noFill/>
              <a:ln w="9525" cap="flat" cmpd="sng" algn="ctr">
                <a:solidFill>
                  <a:schemeClr val="tx1">
                    <a:lumMod val="65000"/>
                    <a:lumOff val="35000"/>
                  </a:schemeClr>
                </a:solidFill>
                <a:round/>
              </a:ln>
              <a:effectLst/>
            </c:spPr>
          </c:errBars>
          <c:cat>
            <c:strRef>
              <c:f>'Phase Parameters'!$F$51:$F$53</c:f>
              <c:strCache>
                <c:ptCount val="3"/>
                <c:pt idx="0">
                  <c:v>Startup</c:v>
                </c:pt>
                <c:pt idx="1">
                  <c:v>High</c:v>
                </c:pt>
                <c:pt idx="2">
                  <c:v>Low</c:v>
                </c:pt>
              </c:strCache>
            </c:strRef>
          </c:cat>
          <c:val>
            <c:numRef>
              <c:f>'Phase Parameters'!$K$51:$K$53</c:f>
              <c:numCache>
                <c:formatCode>0.00</c:formatCode>
                <c:ptCount val="3"/>
                <c:pt idx="0">
                  <c:v>4.9336895995459891</c:v>
                </c:pt>
                <c:pt idx="1">
                  <c:v>2.570081116616969</c:v>
                </c:pt>
                <c:pt idx="2">
                  <c:v>1.7144810940652404</c:v>
                </c:pt>
              </c:numCache>
            </c:numRef>
          </c:val>
          <c:extLst>
            <c:ext xmlns:c16="http://schemas.microsoft.com/office/drawing/2014/chart" uri="{C3380CC4-5D6E-409C-BE32-E72D297353CC}">
              <c16:uniqueId val="{00000000-72BD-4D85-AABF-46BBC0067AF2}"/>
            </c:ext>
          </c:extLst>
        </c:ser>
        <c:ser>
          <c:idx val="1"/>
          <c:order val="1"/>
          <c:tx>
            <c:strRef>
              <c:f>'Phase Parameters'!$E$54</c:f>
              <c:strCache>
                <c:ptCount val="1"/>
                <c:pt idx="0">
                  <c:v>Birch</c:v>
                </c:pt>
              </c:strCache>
            </c:strRef>
          </c:tx>
          <c:spPr>
            <a:solidFill>
              <a:schemeClr val="accent2"/>
            </a:solidFill>
            <a:ln>
              <a:noFill/>
            </a:ln>
            <a:effectLst/>
          </c:spPr>
          <c:invertIfNegative val="0"/>
          <c:errBars>
            <c:errBarType val="both"/>
            <c:errValType val="cust"/>
            <c:noEndCap val="0"/>
            <c:plus>
              <c:numRef>
                <c:f>'Phase Parameters'!$K$62:$K$64</c:f>
                <c:numCache>
                  <c:formatCode>General</c:formatCode>
                  <c:ptCount val="3"/>
                  <c:pt idx="0">
                    <c:v>1.2366093934100091</c:v>
                  </c:pt>
                  <c:pt idx="1">
                    <c:v>9.8954152077810081E-2</c:v>
                  </c:pt>
                  <c:pt idx="2">
                    <c:v>0.10125305076190008</c:v>
                  </c:pt>
                </c:numCache>
              </c:numRef>
            </c:plus>
            <c:minus>
              <c:numRef>
                <c:f>'Phase Parameters'!$K$62:$K$64</c:f>
                <c:numCache>
                  <c:formatCode>General</c:formatCode>
                  <c:ptCount val="3"/>
                  <c:pt idx="0">
                    <c:v>1.2366093934100091</c:v>
                  </c:pt>
                  <c:pt idx="1">
                    <c:v>9.8954152077810081E-2</c:v>
                  </c:pt>
                  <c:pt idx="2">
                    <c:v>0.10125305076190008</c:v>
                  </c:pt>
                </c:numCache>
              </c:numRef>
            </c:minus>
            <c:spPr>
              <a:noFill/>
              <a:ln w="9525" cap="flat" cmpd="sng" algn="ctr">
                <a:solidFill>
                  <a:schemeClr val="tx1">
                    <a:lumMod val="65000"/>
                    <a:lumOff val="35000"/>
                  </a:schemeClr>
                </a:solidFill>
                <a:round/>
              </a:ln>
              <a:effectLst/>
            </c:spPr>
          </c:errBars>
          <c:cat>
            <c:strRef>
              <c:f>'Phase Parameters'!$F$51:$F$53</c:f>
              <c:strCache>
                <c:ptCount val="3"/>
                <c:pt idx="0">
                  <c:v>Startup</c:v>
                </c:pt>
                <c:pt idx="1">
                  <c:v>High</c:v>
                </c:pt>
                <c:pt idx="2">
                  <c:v>Low</c:v>
                </c:pt>
              </c:strCache>
            </c:strRef>
          </c:cat>
          <c:val>
            <c:numRef>
              <c:f>'Phase Parameters'!$K$54:$K$56</c:f>
              <c:numCache>
                <c:formatCode>0.00</c:formatCode>
                <c:ptCount val="3"/>
                <c:pt idx="0">
                  <c:v>5.2079340068409348</c:v>
                </c:pt>
                <c:pt idx="1">
                  <c:v>2.7516713186274506</c:v>
                </c:pt>
                <c:pt idx="2">
                  <c:v>1.4930991771082438</c:v>
                </c:pt>
              </c:numCache>
            </c:numRef>
          </c:val>
          <c:extLst>
            <c:ext xmlns:c16="http://schemas.microsoft.com/office/drawing/2014/chart" uri="{C3380CC4-5D6E-409C-BE32-E72D297353CC}">
              <c16:uniqueId val="{00000001-72BD-4D85-AABF-46BBC0067AF2}"/>
            </c:ext>
          </c:extLst>
        </c:ser>
        <c:dLbls>
          <c:showLegendKey val="0"/>
          <c:showVal val="0"/>
          <c:showCatName val="0"/>
          <c:showSerName val="0"/>
          <c:showPercent val="0"/>
          <c:showBubbleSize val="0"/>
        </c:dLbls>
        <c:gapWidth val="219"/>
        <c:axId val="549962544"/>
        <c:axId val="549959920"/>
      </c:barChart>
      <c:catAx>
        <c:axId val="549962544"/>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9959920"/>
        <c:crosses val="autoZero"/>
        <c:auto val="1"/>
        <c:lblAlgn val="ctr"/>
        <c:lblOffset val="100"/>
        <c:noMultiLvlLbl val="0"/>
      </c:catAx>
      <c:valAx>
        <c:axId val="549959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Dry</a:t>
                </a:r>
                <a:r>
                  <a:rPr lang="en-US" baseline="0"/>
                  <a:t> Burn Rate (kg/hr)</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9962544"/>
        <c:crosses val="autoZero"/>
        <c:crossBetween val="between"/>
      </c:valAx>
      <c:spPr>
        <a:noFill/>
        <a:ln>
          <a:solidFill>
            <a:schemeClr val="bg1">
              <a:lumMod val="50000"/>
            </a:schemeClr>
          </a:solidFill>
        </a:ln>
        <a:effectLst/>
      </c:spPr>
    </c:plotArea>
    <c:legend>
      <c:legendPos val="r"/>
      <c:layout>
        <c:manualLayout>
          <c:xMode val="edge"/>
          <c:yMode val="edge"/>
          <c:x val="0.65618998870327772"/>
          <c:y val="8.3852908302662163E-2"/>
          <c:w val="0.14077249636968489"/>
          <c:h val="0.1512252466863865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BC-EC</a:t>
            </a:r>
            <a:r>
              <a:rPr lang="en-US" baseline="0"/>
              <a:t> filter comparisons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281463832052402"/>
          <c:y val="0.17171296296296296"/>
          <c:w val="0.76974088305527399"/>
          <c:h val="0.60027668416447943"/>
        </c:manualLayout>
      </c:layout>
      <c:scatterChart>
        <c:scatterStyle val="lineMarker"/>
        <c:varyColors val="0"/>
        <c:ser>
          <c:idx val="1"/>
          <c:order val="0"/>
          <c:tx>
            <c:strRef>
              <c:f>'Phase CEMS PM Concentrations'!$X$1</c:f>
              <c:strCache>
                <c:ptCount val="1"/>
                <c:pt idx="0">
                  <c:v>AE33 BC6 (mg/m3)</c:v>
                </c:pt>
              </c:strCache>
            </c:strRef>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25418353154559042"/>
                  <c:y val="-0.15209788917230416"/>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baseline="0"/>
                      <a:t>AE33</a:t>
                    </a:r>
                  </a:p>
                  <a:p>
                    <a:pPr>
                      <a:defRPr/>
                    </a:pPr>
                    <a:r>
                      <a:rPr lang="en-US" baseline="0"/>
                      <a:t>y = 1.6735x + 0.0683</a:t>
                    </a:r>
                    <a:br>
                      <a:rPr lang="en-US" baseline="0"/>
                    </a:br>
                    <a:r>
                      <a:rPr lang="en-US" baseline="0"/>
                      <a:t>R² = 0.911</a:t>
                    </a:r>
                    <a:endParaRPr lang="en-US"/>
                  </a:p>
                </c:rich>
              </c:tx>
              <c:numFmt formatCode="General" sourceLinked="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'Phase CEMS PM Concentrations'!$U$2:$U$25</c:f>
              <c:numCache>
                <c:formatCode>0.0000</c:formatCode>
                <c:ptCount val="24"/>
                <c:pt idx="0">
                  <c:v>0</c:v>
                </c:pt>
                <c:pt idx="1">
                  <c:v>0.77095899999999995</c:v>
                </c:pt>
                <c:pt idx="2">
                  <c:v>9.5489199999999996E-2</c:v>
                </c:pt>
                <c:pt idx="3">
                  <c:v>1.0642799999999999</c:v>
                </c:pt>
                <c:pt idx="4">
                  <c:v>8.9326299999999997E-2</c:v>
                </c:pt>
                <c:pt idx="5">
                  <c:v>0.79999500000000001</c:v>
                </c:pt>
                <c:pt idx="6">
                  <c:v>4.3171800000000003E-2</c:v>
                </c:pt>
                <c:pt idx="7">
                  <c:v>0.82019799999999998</c:v>
                </c:pt>
                <c:pt idx="8">
                  <c:v>4.7108799999999999E-2</c:v>
                </c:pt>
                <c:pt idx="9">
                  <c:v>0.907026</c:v>
                </c:pt>
                <c:pt idx="10">
                  <c:v>2.8027699999999999E-2</c:v>
                </c:pt>
                <c:pt idx="11">
                  <c:v>0.625803</c:v>
                </c:pt>
                <c:pt idx="12">
                  <c:v>5.77294E-2</c:v>
                </c:pt>
                <c:pt idx="13">
                  <c:v>0.60206800000000005</c:v>
                </c:pt>
                <c:pt idx="14">
                  <c:v>0.126971</c:v>
                </c:pt>
                <c:pt idx="15">
                  <c:v>1.34721</c:v>
                </c:pt>
                <c:pt idx="16">
                  <c:v>3.3061199999999999E-2</c:v>
                </c:pt>
                <c:pt idx="17">
                  <c:v>0.82672900000000005</c:v>
                </c:pt>
                <c:pt idx="18">
                  <c:v>3.78777E-2</c:v>
                </c:pt>
                <c:pt idx="19">
                  <c:v>0.55193999999999999</c:v>
                </c:pt>
                <c:pt idx="20">
                  <c:v>2.0217400000000002E-3</c:v>
                </c:pt>
                <c:pt idx="21">
                  <c:v>1.06037</c:v>
                </c:pt>
                <c:pt idx="22">
                  <c:v>0.19944100000000001</c:v>
                </c:pt>
                <c:pt idx="23">
                  <c:v>0</c:v>
                </c:pt>
              </c:numCache>
            </c:numRef>
          </c:xVal>
          <c:yVal>
            <c:numRef>
              <c:f>'Phase CEMS PM Concentrations'!$X$2:$X$25</c:f>
              <c:numCache>
                <c:formatCode>0.00</c:formatCode>
                <c:ptCount val="24"/>
                <c:pt idx="0">
                  <c:v>2.23444E-4</c:v>
                </c:pt>
                <c:pt idx="1">
                  <c:v>1.7119599999999999</c:v>
                </c:pt>
                <c:pt idx="2">
                  <c:v>0.221611</c:v>
                </c:pt>
                <c:pt idx="3">
                  <c:v>1.3765099999999999</c:v>
                </c:pt>
                <c:pt idx="4">
                  <c:v>0.14316799999999999</c:v>
                </c:pt>
                <c:pt idx="5">
                  <c:v>1.7306699999999999</c:v>
                </c:pt>
                <c:pt idx="6">
                  <c:v>9.5635899999999996E-2</c:v>
                </c:pt>
                <c:pt idx="9">
                  <c:v>1.4839500000000001</c:v>
                </c:pt>
                <c:pt idx="10">
                  <c:v>6.3702999999999996E-2</c:v>
                </c:pt>
                <c:pt idx="11">
                  <c:v>1.5863100000000001</c:v>
                </c:pt>
                <c:pt idx="12">
                  <c:v>0.15091499999999999</c:v>
                </c:pt>
                <c:pt idx="13">
                  <c:v>1.4530000000000001</c:v>
                </c:pt>
                <c:pt idx="14">
                  <c:v>0.25471700000000003</c:v>
                </c:pt>
                <c:pt idx="15">
                  <c:v>2.0661399999999999</c:v>
                </c:pt>
                <c:pt idx="16">
                  <c:v>4.8819500000000002E-2</c:v>
                </c:pt>
                <c:pt idx="17">
                  <c:v>1.1097600000000001</c:v>
                </c:pt>
                <c:pt idx="18">
                  <c:v>0.100144</c:v>
                </c:pt>
                <c:pt idx="19">
                  <c:v>0.880185</c:v>
                </c:pt>
                <c:pt idx="20">
                  <c:v>5.9863699999999999E-2</c:v>
                </c:pt>
                <c:pt idx="21">
                  <c:v>2.0811799999999998</c:v>
                </c:pt>
                <c:pt idx="22">
                  <c:v>0.395621</c:v>
                </c:pt>
                <c:pt idx="23">
                  <c:v>1.9965099999999999E-4</c:v>
                </c:pt>
              </c:numCache>
            </c:numRef>
          </c:yVal>
          <c:smooth val="0"/>
          <c:extLst>
            <c:ext xmlns:c16="http://schemas.microsoft.com/office/drawing/2014/chart" uri="{C3380CC4-5D6E-409C-BE32-E72D297353CC}">
              <c16:uniqueId val="{00000001-5A61-4690-BF7D-172481F1BD77}"/>
            </c:ext>
          </c:extLst>
        </c:ser>
        <c:ser>
          <c:idx val="2"/>
          <c:order val="1"/>
          <c:tx>
            <c:strRef>
              <c:f>'Phase CEMS PM Concentrations'!$AF$1</c:f>
              <c:strCache>
                <c:ptCount val="1"/>
                <c:pt idx="0">
                  <c:v>MA350 BCir (mg/m3)</c:v>
                </c:pt>
              </c:strCache>
            </c:strRef>
          </c:tx>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24760807426998407"/>
                  <c:y val="-0.17965236035636389"/>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baseline="0"/>
                      <a:t>MA350</a:t>
                    </a:r>
                  </a:p>
                  <a:p>
                    <a:pPr>
                      <a:defRPr/>
                    </a:pPr>
                    <a:r>
                      <a:rPr lang="en-US" baseline="0"/>
                      <a:t>y = 2.142x + 0.0648</a:t>
                    </a:r>
                    <a:br>
                      <a:rPr lang="en-US" baseline="0"/>
                    </a:br>
                    <a:r>
                      <a:rPr lang="en-US" baseline="0"/>
                      <a:t>R² = 0.9418</a:t>
                    </a:r>
                  </a:p>
                </c:rich>
              </c:tx>
              <c:numFmt formatCode="General" sourceLinked="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'Phase CEMS PM Concentrations'!$U$2:$U$25</c:f>
              <c:numCache>
                <c:formatCode>0.0000</c:formatCode>
                <c:ptCount val="24"/>
                <c:pt idx="0">
                  <c:v>0</c:v>
                </c:pt>
                <c:pt idx="1">
                  <c:v>0.77095899999999995</c:v>
                </c:pt>
                <c:pt idx="2">
                  <c:v>9.5489199999999996E-2</c:v>
                </c:pt>
                <c:pt idx="3">
                  <c:v>1.0642799999999999</c:v>
                </c:pt>
                <c:pt idx="4">
                  <c:v>8.9326299999999997E-2</c:v>
                </c:pt>
                <c:pt idx="5">
                  <c:v>0.79999500000000001</c:v>
                </c:pt>
                <c:pt idx="6">
                  <c:v>4.3171800000000003E-2</c:v>
                </c:pt>
                <c:pt idx="7">
                  <c:v>0.82019799999999998</c:v>
                </c:pt>
                <c:pt idx="8">
                  <c:v>4.7108799999999999E-2</c:v>
                </c:pt>
                <c:pt idx="9">
                  <c:v>0.907026</c:v>
                </c:pt>
                <c:pt idx="10">
                  <c:v>2.8027699999999999E-2</c:v>
                </c:pt>
                <c:pt idx="11">
                  <c:v>0.625803</c:v>
                </c:pt>
                <c:pt idx="12">
                  <c:v>5.77294E-2</c:v>
                </c:pt>
                <c:pt idx="13">
                  <c:v>0.60206800000000005</c:v>
                </c:pt>
                <c:pt idx="14">
                  <c:v>0.126971</c:v>
                </c:pt>
                <c:pt idx="15">
                  <c:v>1.34721</c:v>
                </c:pt>
                <c:pt idx="16">
                  <c:v>3.3061199999999999E-2</c:v>
                </c:pt>
                <c:pt idx="17">
                  <c:v>0.82672900000000005</c:v>
                </c:pt>
                <c:pt idx="18">
                  <c:v>3.78777E-2</c:v>
                </c:pt>
                <c:pt idx="19">
                  <c:v>0.55193999999999999</c:v>
                </c:pt>
                <c:pt idx="20">
                  <c:v>2.0217400000000002E-3</c:v>
                </c:pt>
                <c:pt idx="21">
                  <c:v>1.06037</c:v>
                </c:pt>
                <c:pt idx="22">
                  <c:v>0.19944100000000001</c:v>
                </c:pt>
                <c:pt idx="23">
                  <c:v>0</c:v>
                </c:pt>
              </c:numCache>
            </c:numRef>
          </c:xVal>
          <c:yVal>
            <c:numRef>
              <c:f>'Phase CEMS PM Concentrations'!$AF$2:$AF$25</c:f>
              <c:numCache>
                <c:formatCode>0.00</c:formatCode>
                <c:ptCount val="24"/>
                <c:pt idx="1">
                  <c:v>1.6765399999999999</c:v>
                </c:pt>
                <c:pt idx="2">
                  <c:v>0.24029800000000001</c:v>
                </c:pt>
                <c:pt idx="3">
                  <c:v>1.69408</c:v>
                </c:pt>
                <c:pt idx="4">
                  <c:v>0.16484199999999999</c:v>
                </c:pt>
                <c:pt idx="5">
                  <c:v>1.8502700000000001</c:v>
                </c:pt>
                <c:pt idx="6">
                  <c:v>9.9913600000000005E-2</c:v>
                </c:pt>
                <c:pt idx="7">
                  <c:v>2.16906</c:v>
                </c:pt>
                <c:pt idx="8">
                  <c:v>0.102337</c:v>
                </c:pt>
                <c:pt idx="9">
                  <c:v>2.41656</c:v>
                </c:pt>
                <c:pt idx="10">
                  <c:v>7.1441000000000004E-2</c:v>
                </c:pt>
                <c:pt idx="11">
                  <c:v>1.59239</c:v>
                </c:pt>
                <c:pt idx="12">
                  <c:v>0.18867800000000001</c:v>
                </c:pt>
                <c:pt idx="13">
                  <c:v>1.83809</c:v>
                </c:pt>
                <c:pt idx="14">
                  <c:v>0.35624899999999998</c:v>
                </c:pt>
                <c:pt idx="15">
                  <c:v>2.83988</c:v>
                </c:pt>
                <c:pt idx="16">
                  <c:v>8.1029000000000004E-2</c:v>
                </c:pt>
                <c:pt idx="17">
                  <c:v>2.0382799999999999</c:v>
                </c:pt>
                <c:pt idx="18">
                  <c:v>0.113443</c:v>
                </c:pt>
                <c:pt idx="19">
                  <c:v>1.04243</c:v>
                </c:pt>
                <c:pt idx="20">
                  <c:v>9.1171299999999997E-2</c:v>
                </c:pt>
                <c:pt idx="21">
                  <c:v>2.07212</c:v>
                </c:pt>
                <c:pt idx="22">
                  <c:v>0.46104699999999998</c:v>
                </c:pt>
                <c:pt idx="23">
                  <c:v>2.7491099999999999E-3</c:v>
                </c:pt>
              </c:numCache>
            </c:numRef>
          </c:yVal>
          <c:smooth val="0"/>
          <c:extLst>
            <c:ext xmlns:c16="http://schemas.microsoft.com/office/drawing/2014/chart" uri="{C3380CC4-5D6E-409C-BE32-E72D297353CC}">
              <c16:uniqueId val="{00000002-5A61-4690-BF7D-172481F1BD77}"/>
            </c:ext>
          </c:extLst>
        </c:ser>
        <c:ser>
          <c:idx val="3"/>
          <c:order val="2"/>
          <c:tx>
            <c:strRef>
              <c:f>'Phase CEMS PM Concentrations'!#REF!</c:f>
              <c:strCache>
                <c:ptCount val="1"/>
                <c:pt idx="0">
                  <c:v>#REF!</c:v>
                </c:pt>
              </c:strCache>
            </c:strRef>
          </c:tx>
          <c:spPr>
            <a:ln w="25400" cap="rnd">
              <a:noFill/>
              <a:round/>
            </a:ln>
            <a:effectLst/>
          </c:spPr>
          <c:marker>
            <c:symbol val="circle"/>
            <c:size val="5"/>
            <c:spPr>
              <a:solidFill>
                <a:schemeClr val="accent4"/>
              </a:solidFill>
              <a:ln w="9525">
                <a:solidFill>
                  <a:schemeClr val="accent4"/>
                </a:solidFill>
              </a:ln>
              <a:effectLst/>
            </c:spPr>
          </c:marker>
          <c:trendline>
            <c:spPr>
              <a:ln w="19050" cap="rnd">
                <a:solidFill>
                  <a:schemeClr val="accent4"/>
                </a:solidFill>
                <a:prstDash val="sysDot"/>
              </a:ln>
              <a:effectLst/>
            </c:spPr>
            <c:trendlineType val="linear"/>
            <c:dispRSqr val="1"/>
            <c:dispEq val="1"/>
            <c:trendlineLbl>
              <c:layout>
                <c:manualLayout>
                  <c:x val="0.11451340747355034"/>
                  <c:y val="0.14799240520466855"/>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'Phase CEMS PM Concentrations'!$U$2:$U$10</c:f>
              <c:numCache>
                <c:formatCode>0.0000</c:formatCode>
                <c:ptCount val="9"/>
                <c:pt idx="0">
                  <c:v>0</c:v>
                </c:pt>
                <c:pt idx="1">
                  <c:v>0.77095899999999995</c:v>
                </c:pt>
                <c:pt idx="2">
                  <c:v>9.5489199999999996E-2</c:v>
                </c:pt>
                <c:pt idx="3">
                  <c:v>1.0642799999999999</c:v>
                </c:pt>
                <c:pt idx="4">
                  <c:v>8.9326299999999997E-2</c:v>
                </c:pt>
                <c:pt idx="5">
                  <c:v>0.79999500000000001</c:v>
                </c:pt>
                <c:pt idx="6">
                  <c:v>4.3171800000000003E-2</c:v>
                </c:pt>
                <c:pt idx="7">
                  <c:v>0.82019799999999998</c:v>
                </c:pt>
                <c:pt idx="8">
                  <c:v>4.7108799999999999E-2</c:v>
                </c:pt>
              </c:numCache>
            </c:numRef>
          </c:xVal>
          <c:yVal>
            <c:numRef>
              <c:f>'Phase CEMS PM Concentrations'!#REF!</c:f>
              <c:numCache>
                <c:formatCode>General</c:formatCode>
                <c:ptCount val="1"/>
                <c:pt idx="0">
                  <c:v>1</c:v>
                </c:pt>
              </c:numCache>
            </c:numRef>
          </c:yVal>
          <c:smooth val="0"/>
          <c:extLst>
            <c:ext xmlns:c16="http://schemas.microsoft.com/office/drawing/2014/chart" uri="{C3380CC4-5D6E-409C-BE32-E72D297353CC}">
              <c16:uniqueId val="{00000006-5A61-4690-BF7D-172481F1BD77}"/>
            </c:ext>
          </c:extLst>
        </c:ser>
        <c:dLbls>
          <c:showLegendKey val="0"/>
          <c:showVal val="0"/>
          <c:showCatName val="0"/>
          <c:showSerName val="0"/>
          <c:showPercent val="0"/>
          <c:showBubbleSize val="0"/>
        </c:dLbls>
        <c:axId val="338453152"/>
        <c:axId val="338454136"/>
      </c:scatterChart>
      <c:valAx>
        <c:axId val="33845315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8454136"/>
        <c:crosses val="autoZero"/>
        <c:crossBetween val="midCat"/>
      </c:valAx>
      <c:valAx>
        <c:axId val="33845413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845315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14971811442576"/>
          <c:y val="3.2578554076551906E-2"/>
          <c:w val="0.83816984977257558"/>
          <c:h val="0.83591276036899353"/>
        </c:manualLayout>
      </c:layout>
      <c:scatterChart>
        <c:scatterStyle val="smoothMarker"/>
        <c:varyColors val="0"/>
        <c:ser>
          <c:idx val="0"/>
          <c:order val="0"/>
          <c:tx>
            <c:strRef>
              <c:f>'Phase CEMS PM Concentrations'!$C$32:$D$32</c:f>
              <c:strCache>
                <c:ptCount val="2"/>
                <c:pt idx="0">
                  <c:v>Spruce</c:v>
                </c:pt>
                <c:pt idx="1">
                  <c:v>Startup</c:v>
                </c:pt>
              </c:strCache>
            </c:strRef>
          </c:tx>
          <c:spPr>
            <a:ln w="19050" cap="rnd">
              <a:solidFill>
                <a:schemeClr val="tx1"/>
              </a:solidFill>
              <a:round/>
            </a:ln>
            <a:effectLst/>
          </c:spPr>
          <c:marker>
            <c:symbol val="none"/>
          </c:marker>
          <c:errBars>
            <c:errDir val="y"/>
            <c:errBarType val="both"/>
            <c:errValType val="cust"/>
            <c:noEndCap val="0"/>
            <c:plus>
              <c:numRef>
                <c:f>'Phase CEMS PM Concentrations'!$BC$33:$CH$33</c:f>
                <c:numCache>
                  <c:formatCode>General</c:formatCode>
                  <c:ptCount val="32"/>
                  <c:pt idx="0">
                    <c:v>1.0489334976378004</c:v>
                  </c:pt>
                  <c:pt idx="1">
                    <c:v>0.9200816117587951</c:v>
                  </c:pt>
                  <c:pt idx="2">
                    <c:v>1.5193560910036874</c:v>
                  </c:pt>
                  <c:pt idx="3">
                    <c:v>3.0448949261914904</c:v>
                  </c:pt>
                  <c:pt idx="4">
                    <c:v>2.6950584132271871</c:v>
                  </c:pt>
                  <c:pt idx="5">
                    <c:v>2.315293153525054</c:v>
                  </c:pt>
                  <c:pt idx="6">
                    <c:v>4.8810010845020289</c:v>
                  </c:pt>
                  <c:pt idx="7">
                    <c:v>6.7059400341537865</c:v>
                  </c:pt>
                  <c:pt idx="8">
                    <c:v>9.6377549330571171</c:v>
                  </c:pt>
                  <c:pt idx="9">
                    <c:v>14.009913452504501</c:v>
                  </c:pt>
                  <c:pt idx="10">
                    <c:v>18.012865102216942</c:v>
                  </c:pt>
                  <c:pt idx="11">
                    <c:v>22.243072354098615</c:v>
                  </c:pt>
                  <c:pt idx="12">
                    <c:v>31.850180478797903</c:v>
                  </c:pt>
                  <c:pt idx="13">
                    <c:v>52.121356538310337</c:v>
                  </c:pt>
                  <c:pt idx="14">
                    <c:v>73.603439367203904</c:v>
                  </c:pt>
                  <c:pt idx="15">
                    <c:v>95.071789033235291</c:v>
                  </c:pt>
                  <c:pt idx="16">
                    <c:v>113.96151843389944</c:v>
                  </c:pt>
                  <c:pt idx="17">
                    <c:v>130.31709409385505</c:v>
                  </c:pt>
                  <c:pt idx="18">
                    <c:v>133.74342531691059</c:v>
                  </c:pt>
                  <c:pt idx="19">
                    <c:v>122.88381674967096</c:v>
                  </c:pt>
                  <c:pt idx="20">
                    <c:v>107.59765103089697</c:v>
                  </c:pt>
                  <c:pt idx="21">
                    <c:v>88.084199244624131</c:v>
                  </c:pt>
                  <c:pt idx="22">
                    <c:v>72.129279375299504</c:v>
                  </c:pt>
                  <c:pt idx="23">
                    <c:v>59.95665077620653</c:v>
                  </c:pt>
                  <c:pt idx="24">
                    <c:v>46.035644370060467</c:v>
                  </c:pt>
                  <c:pt idx="25">
                    <c:v>30.358842549851186</c:v>
                  </c:pt>
                  <c:pt idx="26">
                    <c:v>19.690753021829231</c:v>
                  </c:pt>
                  <c:pt idx="27">
                    <c:v>12.410545123670703</c:v>
                  </c:pt>
                  <c:pt idx="28">
                    <c:v>8.3619105497288508</c:v>
                  </c:pt>
                  <c:pt idx="29">
                    <c:v>6.4370407864690957</c:v>
                  </c:pt>
                  <c:pt idx="30">
                    <c:v>5.1938396862693663</c:v>
                  </c:pt>
                  <c:pt idx="31">
                    <c:v>4.3447570769453474</c:v>
                  </c:pt>
                </c:numCache>
              </c:numRef>
            </c:plus>
            <c:minus>
              <c:numRef>
                <c:f>'Phase CEMS PM Concentrations'!$BC$33:$CH$33</c:f>
                <c:numCache>
                  <c:formatCode>General</c:formatCode>
                  <c:ptCount val="32"/>
                  <c:pt idx="0">
                    <c:v>1.0489334976378004</c:v>
                  </c:pt>
                  <c:pt idx="1">
                    <c:v>0.9200816117587951</c:v>
                  </c:pt>
                  <c:pt idx="2">
                    <c:v>1.5193560910036874</c:v>
                  </c:pt>
                  <c:pt idx="3">
                    <c:v>3.0448949261914904</c:v>
                  </c:pt>
                  <c:pt idx="4">
                    <c:v>2.6950584132271871</c:v>
                  </c:pt>
                  <c:pt idx="5">
                    <c:v>2.315293153525054</c:v>
                  </c:pt>
                  <c:pt idx="6">
                    <c:v>4.8810010845020289</c:v>
                  </c:pt>
                  <c:pt idx="7">
                    <c:v>6.7059400341537865</c:v>
                  </c:pt>
                  <c:pt idx="8">
                    <c:v>9.6377549330571171</c:v>
                  </c:pt>
                  <c:pt idx="9">
                    <c:v>14.009913452504501</c:v>
                  </c:pt>
                  <c:pt idx="10">
                    <c:v>18.012865102216942</c:v>
                  </c:pt>
                  <c:pt idx="11">
                    <c:v>22.243072354098615</c:v>
                  </c:pt>
                  <c:pt idx="12">
                    <c:v>31.850180478797903</c:v>
                  </c:pt>
                  <c:pt idx="13">
                    <c:v>52.121356538310337</c:v>
                  </c:pt>
                  <c:pt idx="14">
                    <c:v>73.603439367203904</c:v>
                  </c:pt>
                  <c:pt idx="15">
                    <c:v>95.071789033235291</c:v>
                  </c:pt>
                  <c:pt idx="16">
                    <c:v>113.96151843389944</c:v>
                  </c:pt>
                  <c:pt idx="17">
                    <c:v>130.31709409385505</c:v>
                  </c:pt>
                  <c:pt idx="18">
                    <c:v>133.74342531691059</c:v>
                  </c:pt>
                  <c:pt idx="19">
                    <c:v>122.88381674967096</c:v>
                  </c:pt>
                  <c:pt idx="20">
                    <c:v>107.59765103089697</c:v>
                  </c:pt>
                  <c:pt idx="21">
                    <c:v>88.084199244624131</c:v>
                  </c:pt>
                  <c:pt idx="22">
                    <c:v>72.129279375299504</c:v>
                  </c:pt>
                  <c:pt idx="23">
                    <c:v>59.95665077620653</c:v>
                  </c:pt>
                  <c:pt idx="24">
                    <c:v>46.035644370060467</c:v>
                  </c:pt>
                  <c:pt idx="25">
                    <c:v>30.358842549851186</c:v>
                  </c:pt>
                  <c:pt idx="26">
                    <c:v>19.690753021829231</c:v>
                  </c:pt>
                  <c:pt idx="27">
                    <c:v>12.410545123670703</c:v>
                  </c:pt>
                  <c:pt idx="28">
                    <c:v>8.3619105497288508</c:v>
                  </c:pt>
                  <c:pt idx="29">
                    <c:v>6.4370407864690957</c:v>
                  </c:pt>
                  <c:pt idx="30">
                    <c:v>5.1938396862693663</c:v>
                  </c:pt>
                  <c:pt idx="31">
                    <c:v>4.3447570769453474</c:v>
                  </c:pt>
                </c:numCache>
              </c:numRef>
            </c:minus>
            <c:spPr>
              <a:noFill/>
              <a:ln w="9525" cap="flat" cmpd="sng" algn="ctr">
                <a:solidFill>
                  <a:schemeClr val="tx1">
                    <a:lumMod val="65000"/>
                    <a:lumOff val="35000"/>
                  </a:schemeClr>
                </a:solidFill>
                <a:round/>
              </a:ln>
              <a:effectLst/>
            </c:spPr>
          </c:errBars>
          <c:xVal>
            <c:numRef>
              <c:f>'Phase CEMS PM Concentrations'!$BC$31:$CH$31</c:f>
              <c:numCache>
                <c:formatCode>0</c:formatCode>
                <c:ptCount val="32"/>
                <c:pt idx="0">
                  <c:v>6.04</c:v>
                </c:pt>
                <c:pt idx="1">
                  <c:v>6.98</c:v>
                </c:pt>
                <c:pt idx="2">
                  <c:v>8.06</c:v>
                </c:pt>
                <c:pt idx="3">
                  <c:v>9.31</c:v>
                </c:pt>
                <c:pt idx="4">
                  <c:v>10.8</c:v>
                </c:pt>
                <c:pt idx="5">
                  <c:v>12.4</c:v>
                </c:pt>
                <c:pt idx="6">
                  <c:v>14.3</c:v>
                </c:pt>
                <c:pt idx="7">
                  <c:v>16.5</c:v>
                </c:pt>
                <c:pt idx="8">
                  <c:v>19.100000000000001</c:v>
                </c:pt>
                <c:pt idx="9">
                  <c:v>22.1</c:v>
                </c:pt>
                <c:pt idx="10">
                  <c:v>25.5</c:v>
                </c:pt>
                <c:pt idx="11">
                  <c:v>29.4</c:v>
                </c:pt>
                <c:pt idx="12">
                  <c:v>34</c:v>
                </c:pt>
                <c:pt idx="13">
                  <c:v>39.200000000000003</c:v>
                </c:pt>
                <c:pt idx="14">
                  <c:v>45.3</c:v>
                </c:pt>
                <c:pt idx="15">
                  <c:v>52.3</c:v>
                </c:pt>
                <c:pt idx="16">
                  <c:v>60.4</c:v>
                </c:pt>
                <c:pt idx="17">
                  <c:v>69.8</c:v>
                </c:pt>
                <c:pt idx="18">
                  <c:v>80.599999999999994</c:v>
                </c:pt>
                <c:pt idx="19">
                  <c:v>93.1</c:v>
                </c:pt>
                <c:pt idx="20">
                  <c:v>107.5</c:v>
                </c:pt>
                <c:pt idx="21">
                  <c:v>124.1</c:v>
                </c:pt>
                <c:pt idx="22">
                  <c:v>143.30000000000001</c:v>
                </c:pt>
                <c:pt idx="23">
                  <c:v>165.5</c:v>
                </c:pt>
                <c:pt idx="24">
                  <c:v>191.1</c:v>
                </c:pt>
                <c:pt idx="25">
                  <c:v>220.7</c:v>
                </c:pt>
                <c:pt idx="26">
                  <c:v>254.8</c:v>
                </c:pt>
                <c:pt idx="27">
                  <c:v>294.3</c:v>
                </c:pt>
                <c:pt idx="28">
                  <c:v>339.8</c:v>
                </c:pt>
                <c:pt idx="29">
                  <c:v>392.4</c:v>
                </c:pt>
                <c:pt idx="30">
                  <c:v>453.2</c:v>
                </c:pt>
                <c:pt idx="31">
                  <c:v>523.29999999999995</c:v>
                </c:pt>
              </c:numCache>
            </c:numRef>
          </c:xVal>
          <c:yVal>
            <c:numRef>
              <c:f>'Phase CEMS PM Concentrations'!$BC$32:$CH$32</c:f>
              <c:numCache>
                <c:formatCode>0.00</c:formatCode>
                <c:ptCount val="32"/>
                <c:pt idx="0">
                  <c:v>3.4933933333333331</c:v>
                </c:pt>
                <c:pt idx="1">
                  <c:v>3.6123083333333335</c:v>
                </c:pt>
                <c:pt idx="2">
                  <c:v>4.3177549999999991</c:v>
                </c:pt>
                <c:pt idx="3">
                  <c:v>7.2394766666666657</c:v>
                </c:pt>
                <c:pt idx="4">
                  <c:v>7.6120633333333343</c:v>
                </c:pt>
                <c:pt idx="5">
                  <c:v>6.3199600000000009</c:v>
                </c:pt>
                <c:pt idx="6">
                  <c:v>11.393735</c:v>
                </c:pt>
                <c:pt idx="7">
                  <c:v>19.976716666666668</c:v>
                </c:pt>
                <c:pt idx="8">
                  <c:v>29.763416666666668</c:v>
                </c:pt>
                <c:pt idx="9">
                  <c:v>41.001333333333335</c:v>
                </c:pt>
                <c:pt idx="10">
                  <c:v>51.800166666666676</c:v>
                </c:pt>
                <c:pt idx="11">
                  <c:v>61.823983333333331</c:v>
                </c:pt>
                <c:pt idx="12">
                  <c:v>83.71</c:v>
                </c:pt>
                <c:pt idx="13">
                  <c:v>120.41211666666668</c:v>
                </c:pt>
                <c:pt idx="14">
                  <c:v>157.4731166666667</c:v>
                </c:pt>
                <c:pt idx="15">
                  <c:v>194.64390000000003</c:v>
                </c:pt>
                <c:pt idx="16">
                  <c:v>231.1644</c:v>
                </c:pt>
                <c:pt idx="17">
                  <c:v>267.22933333333333</c:v>
                </c:pt>
                <c:pt idx="18">
                  <c:v>290.24949999999995</c:v>
                </c:pt>
                <c:pt idx="19">
                  <c:v>301.72216666666662</c:v>
                </c:pt>
                <c:pt idx="20">
                  <c:v>303.86916666666667</c:v>
                </c:pt>
                <c:pt idx="21">
                  <c:v>296.41316666666665</c:v>
                </c:pt>
                <c:pt idx="22">
                  <c:v>290.863</c:v>
                </c:pt>
                <c:pt idx="23">
                  <c:v>287.20249999999999</c:v>
                </c:pt>
                <c:pt idx="24">
                  <c:v>259.17316666666665</c:v>
                </c:pt>
                <c:pt idx="25">
                  <c:v>206.77516666666668</c:v>
                </c:pt>
                <c:pt idx="26">
                  <c:v>159.23983333333331</c:v>
                </c:pt>
                <c:pt idx="27">
                  <c:v>116.56766666666665</c:v>
                </c:pt>
                <c:pt idx="28">
                  <c:v>88.557583333333341</c:v>
                </c:pt>
                <c:pt idx="29">
                  <c:v>75.209666666666678</c:v>
                </c:pt>
                <c:pt idx="30">
                  <c:v>64.094566666666665</c:v>
                </c:pt>
                <c:pt idx="31">
                  <c:v>55.212183333333336</c:v>
                </c:pt>
              </c:numCache>
            </c:numRef>
          </c:yVal>
          <c:smooth val="1"/>
          <c:extLst>
            <c:ext xmlns:c16="http://schemas.microsoft.com/office/drawing/2014/chart" uri="{C3380CC4-5D6E-409C-BE32-E72D297353CC}">
              <c16:uniqueId val="{00000000-EA92-44D3-9BEE-3108C61EC164}"/>
            </c:ext>
          </c:extLst>
        </c:ser>
        <c:ser>
          <c:idx val="1"/>
          <c:order val="1"/>
          <c:tx>
            <c:strRef>
              <c:f>'Phase CEMS PM Concentrations'!$C$35:$D$35</c:f>
              <c:strCache>
                <c:ptCount val="2"/>
                <c:pt idx="0">
                  <c:v>Spruce</c:v>
                </c:pt>
                <c:pt idx="1">
                  <c:v>High</c:v>
                </c:pt>
              </c:strCache>
            </c:strRef>
          </c:tx>
          <c:spPr>
            <a:ln w="19050" cap="rnd">
              <a:solidFill>
                <a:schemeClr val="accent2"/>
              </a:solidFill>
              <a:round/>
            </a:ln>
            <a:effectLst/>
          </c:spPr>
          <c:marker>
            <c:symbol val="none"/>
          </c:marker>
          <c:errBars>
            <c:errDir val="y"/>
            <c:errBarType val="both"/>
            <c:errValType val="cust"/>
            <c:noEndCap val="0"/>
            <c:plus>
              <c:numRef>
                <c:f>'Phase CEMS PM Concentrations'!$BC$36:$CH$36</c:f>
                <c:numCache>
                  <c:formatCode>General</c:formatCode>
                  <c:ptCount val="32"/>
                  <c:pt idx="0">
                    <c:v>0.8043149073018605</c:v>
                  </c:pt>
                  <c:pt idx="1">
                    <c:v>0.74659959712909885</c:v>
                  </c:pt>
                  <c:pt idx="2">
                    <c:v>1.5161826859254124</c:v>
                  </c:pt>
                  <c:pt idx="3">
                    <c:v>3.3764990857740989</c:v>
                  </c:pt>
                  <c:pt idx="4">
                    <c:v>3.1184831013865257</c:v>
                  </c:pt>
                  <c:pt idx="5">
                    <c:v>0.73754024638207494</c:v>
                  </c:pt>
                  <c:pt idx="6">
                    <c:v>0.13163668447663057</c:v>
                  </c:pt>
                  <c:pt idx="7">
                    <c:v>0.27475073363565983</c:v>
                  </c:pt>
                  <c:pt idx="8">
                    <c:v>0.69956983928220584</c:v>
                  </c:pt>
                  <c:pt idx="9">
                    <c:v>1.0138468855963101</c:v>
                  </c:pt>
                  <c:pt idx="10">
                    <c:v>1.8873219570951152</c:v>
                  </c:pt>
                  <c:pt idx="11">
                    <c:v>2.9697239433040465</c:v>
                  </c:pt>
                  <c:pt idx="12">
                    <c:v>4.2836542390385963</c:v>
                  </c:pt>
                  <c:pt idx="13">
                    <c:v>5.47143073980045</c:v>
                  </c:pt>
                  <c:pt idx="14">
                    <c:v>5.4659652892543447</c:v>
                  </c:pt>
                  <c:pt idx="15">
                    <c:v>4.9815267964082182</c:v>
                  </c:pt>
                  <c:pt idx="16">
                    <c:v>5.1841641026624261</c:v>
                  </c:pt>
                  <c:pt idx="17">
                    <c:v>8.8037388229849842</c:v>
                  </c:pt>
                  <c:pt idx="18">
                    <c:v>13.339342096220458</c:v>
                  </c:pt>
                  <c:pt idx="19">
                    <c:v>17.624354500047183</c:v>
                  </c:pt>
                  <c:pt idx="20">
                    <c:v>20.011026463427616</c:v>
                  </c:pt>
                  <c:pt idx="21">
                    <c:v>20.367475491659093</c:v>
                  </c:pt>
                  <c:pt idx="22">
                    <c:v>18.994016790908997</c:v>
                  </c:pt>
                  <c:pt idx="23">
                    <c:v>15.840720030352038</c:v>
                  </c:pt>
                  <c:pt idx="24">
                    <c:v>11.194042426814974</c:v>
                  </c:pt>
                  <c:pt idx="25">
                    <c:v>5.5080453704860997</c:v>
                  </c:pt>
                  <c:pt idx="26">
                    <c:v>3.424553701335888</c:v>
                  </c:pt>
                  <c:pt idx="27">
                    <c:v>3.6500407299097346</c:v>
                  </c:pt>
                  <c:pt idx="28">
                    <c:v>4.0935220878032883</c:v>
                  </c:pt>
                  <c:pt idx="29">
                    <c:v>4.0815031655016503</c:v>
                  </c:pt>
                  <c:pt idx="30">
                    <c:v>3.8825667055870849</c:v>
                  </c:pt>
                  <c:pt idx="31">
                    <c:v>3.490855724603934</c:v>
                  </c:pt>
                </c:numCache>
              </c:numRef>
            </c:plus>
            <c:minus>
              <c:numRef>
                <c:f>'Phase CEMS PM Concentrations'!$BC$36:$CH$36</c:f>
                <c:numCache>
                  <c:formatCode>General</c:formatCode>
                  <c:ptCount val="32"/>
                  <c:pt idx="0">
                    <c:v>0.8043149073018605</c:v>
                  </c:pt>
                  <c:pt idx="1">
                    <c:v>0.74659959712909885</c:v>
                  </c:pt>
                  <c:pt idx="2">
                    <c:v>1.5161826859254124</c:v>
                  </c:pt>
                  <c:pt idx="3">
                    <c:v>3.3764990857740989</c:v>
                  </c:pt>
                  <c:pt idx="4">
                    <c:v>3.1184831013865257</c:v>
                  </c:pt>
                  <c:pt idx="5">
                    <c:v>0.73754024638207494</c:v>
                  </c:pt>
                  <c:pt idx="6">
                    <c:v>0.13163668447663057</c:v>
                  </c:pt>
                  <c:pt idx="7">
                    <c:v>0.27475073363565983</c:v>
                  </c:pt>
                  <c:pt idx="8">
                    <c:v>0.69956983928220584</c:v>
                  </c:pt>
                  <c:pt idx="9">
                    <c:v>1.0138468855963101</c:v>
                  </c:pt>
                  <c:pt idx="10">
                    <c:v>1.8873219570951152</c:v>
                  </c:pt>
                  <c:pt idx="11">
                    <c:v>2.9697239433040465</c:v>
                  </c:pt>
                  <c:pt idx="12">
                    <c:v>4.2836542390385963</c:v>
                  </c:pt>
                  <c:pt idx="13">
                    <c:v>5.47143073980045</c:v>
                  </c:pt>
                  <c:pt idx="14">
                    <c:v>5.4659652892543447</c:v>
                  </c:pt>
                  <c:pt idx="15">
                    <c:v>4.9815267964082182</c:v>
                  </c:pt>
                  <c:pt idx="16">
                    <c:v>5.1841641026624261</c:v>
                  </c:pt>
                  <c:pt idx="17">
                    <c:v>8.8037388229849842</c:v>
                  </c:pt>
                  <c:pt idx="18">
                    <c:v>13.339342096220458</c:v>
                  </c:pt>
                  <c:pt idx="19">
                    <c:v>17.624354500047183</c:v>
                  </c:pt>
                  <c:pt idx="20">
                    <c:v>20.011026463427616</c:v>
                  </c:pt>
                  <c:pt idx="21">
                    <c:v>20.367475491659093</c:v>
                  </c:pt>
                  <c:pt idx="22">
                    <c:v>18.994016790908997</c:v>
                  </c:pt>
                  <c:pt idx="23">
                    <c:v>15.840720030352038</c:v>
                  </c:pt>
                  <c:pt idx="24">
                    <c:v>11.194042426814974</c:v>
                  </c:pt>
                  <c:pt idx="25">
                    <c:v>5.5080453704860997</c:v>
                  </c:pt>
                  <c:pt idx="26">
                    <c:v>3.424553701335888</c:v>
                  </c:pt>
                  <c:pt idx="27">
                    <c:v>3.6500407299097346</c:v>
                  </c:pt>
                  <c:pt idx="28">
                    <c:v>4.0935220878032883</c:v>
                  </c:pt>
                  <c:pt idx="29">
                    <c:v>4.0815031655016503</c:v>
                  </c:pt>
                  <c:pt idx="30">
                    <c:v>3.8825667055870849</c:v>
                  </c:pt>
                  <c:pt idx="31">
                    <c:v>3.490855724603934</c:v>
                  </c:pt>
                </c:numCache>
              </c:numRef>
            </c:minus>
            <c:spPr>
              <a:noFill/>
              <a:ln w="9525" cap="flat" cmpd="sng" algn="ctr">
                <a:solidFill>
                  <a:schemeClr val="bg2">
                    <a:lumMod val="75000"/>
                  </a:schemeClr>
                </a:solidFill>
                <a:round/>
              </a:ln>
              <a:effectLst/>
            </c:spPr>
          </c:errBars>
          <c:xVal>
            <c:numRef>
              <c:f>'Phase CEMS PM Concentrations'!$BC$31:$CH$31</c:f>
              <c:numCache>
                <c:formatCode>0</c:formatCode>
                <c:ptCount val="32"/>
                <c:pt idx="0">
                  <c:v>6.04</c:v>
                </c:pt>
                <c:pt idx="1">
                  <c:v>6.98</c:v>
                </c:pt>
                <c:pt idx="2">
                  <c:v>8.06</c:v>
                </c:pt>
                <c:pt idx="3">
                  <c:v>9.31</c:v>
                </c:pt>
                <c:pt idx="4">
                  <c:v>10.8</c:v>
                </c:pt>
                <c:pt idx="5">
                  <c:v>12.4</c:v>
                </c:pt>
                <c:pt idx="6">
                  <c:v>14.3</c:v>
                </c:pt>
                <c:pt idx="7">
                  <c:v>16.5</c:v>
                </c:pt>
                <c:pt idx="8">
                  <c:v>19.100000000000001</c:v>
                </c:pt>
                <c:pt idx="9">
                  <c:v>22.1</c:v>
                </c:pt>
                <c:pt idx="10">
                  <c:v>25.5</c:v>
                </c:pt>
                <c:pt idx="11">
                  <c:v>29.4</c:v>
                </c:pt>
                <c:pt idx="12">
                  <c:v>34</c:v>
                </c:pt>
                <c:pt idx="13">
                  <c:v>39.200000000000003</c:v>
                </c:pt>
                <c:pt idx="14">
                  <c:v>45.3</c:v>
                </c:pt>
                <c:pt idx="15">
                  <c:v>52.3</c:v>
                </c:pt>
                <c:pt idx="16">
                  <c:v>60.4</c:v>
                </c:pt>
                <c:pt idx="17">
                  <c:v>69.8</c:v>
                </c:pt>
                <c:pt idx="18">
                  <c:v>80.599999999999994</c:v>
                </c:pt>
                <c:pt idx="19">
                  <c:v>93.1</c:v>
                </c:pt>
                <c:pt idx="20">
                  <c:v>107.5</c:v>
                </c:pt>
                <c:pt idx="21">
                  <c:v>124.1</c:v>
                </c:pt>
                <c:pt idx="22">
                  <c:v>143.30000000000001</c:v>
                </c:pt>
                <c:pt idx="23">
                  <c:v>165.5</c:v>
                </c:pt>
                <c:pt idx="24">
                  <c:v>191.1</c:v>
                </c:pt>
                <c:pt idx="25">
                  <c:v>220.7</c:v>
                </c:pt>
                <c:pt idx="26">
                  <c:v>254.8</c:v>
                </c:pt>
                <c:pt idx="27">
                  <c:v>294.3</c:v>
                </c:pt>
                <c:pt idx="28">
                  <c:v>339.8</c:v>
                </c:pt>
                <c:pt idx="29">
                  <c:v>392.4</c:v>
                </c:pt>
                <c:pt idx="30">
                  <c:v>453.2</c:v>
                </c:pt>
                <c:pt idx="31">
                  <c:v>523.29999999999995</c:v>
                </c:pt>
              </c:numCache>
            </c:numRef>
          </c:xVal>
          <c:yVal>
            <c:numRef>
              <c:f>'Phase CEMS PM Concentrations'!$BC$35:$CH$35</c:f>
              <c:numCache>
                <c:formatCode>0.00</c:formatCode>
                <c:ptCount val="32"/>
                <c:pt idx="0">
                  <c:v>1.2092340000000001</c:v>
                </c:pt>
                <c:pt idx="1">
                  <c:v>1.9734066666666668</c:v>
                </c:pt>
                <c:pt idx="2">
                  <c:v>2.9954800000000001</c:v>
                </c:pt>
                <c:pt idx="3">
                  <c:v>6.0365033333333331</c:v>
                </c:pt>
                <c:pt idx="4">
                  <c:v>5.9384333333333332</c:v>
                </c:pt>
                <c:pt idx="5">
                  <c:v>2.3035033333333335</c:v>
                </c:pt>
                <c:pt idx="6">
                  <c:v>1.7171000000000001</c:v>
                </c:pt>
                <c:pt idx="7">
                  <c:v>2.6728566666666667</c:v>
                </c:pt>
                <c:pt idx="8">
                  <c:v>3.2257866666666666</c:v>
                </c:pt>
                <c:pt idx="9">
                  <c:v>2.9140433333333333</c:v>
                </c:pt>
                <c:pt idx="10">
                  <c:v>2.8914566666666666</c:v>
                </c:pt>
                <c:pt idx="11">
                  <c:v>3.3814833333333332</c:v>
                </c:pt>
                <c:pt idx="12">
                  <c:v>5.424246666666666</c:v>
                </c:pt>
                <c:pt idx="13">
                  <c:v>9.7051066666666674</c:v>
                </c:pt>
                <c:pt idx="14">
                  <c:v>15.343133333333334</c:v>
                </c:pt>
                <c:pt idx="15">
                  <c:v>22.29986666666667</c:v>
                </c:pt>
                <c:pt idx="16">
                  <c:v>31.685966666666662</c:v>
                </c:pt>
                <c:pt idx="17">
                  <c:v>43.39306666666667</c:v>
                </c:pt>
                <c:pt idx="18">
                  <c:v>55.2483</c:v>
                </c:pt>
                <c:pt idx="19">
                  <c:v>67.350966666666665</c:v>
                </c:pt>
                <c:pt idx="20">
                  <c:v>76.970100000000002</c:v>
                </c:pt>
                <c:pt idx="21">
                  <c:v>84.094366666666659</c:v>
                </c:pt>
                <c:pt idx="22">
                  <c:v>88.45686666666667</c:v>
                </c:pt>
                <c:pt idx="23">
                  <c:v>90.057400000000015</c:v>
                </c:pt>
                <c:pt idx="24">
                  <c:v>82.046933333333342</c:v>
                </c:pt>
                <c:pt idx="25">
                  <c:v>64.425733333333326</c:v>
                </c:pt>
                <c:pt idx="26">
                  <c:v>48.561233333333327</c:v>
                </c:pt>
                <c:pt idx="27">
                  <c:v>34.453499999999998</c:v>
                </c:pt>
                <c:pt idx="28">
                  <c:v>25.139966666666666</c:v>
                </c:pt>
                <c:pt idx="29">
                  <c:v>20.620699999999999</c:v>
                </c:pt>
                <c:pt idx="30">
                  <c:v>17.057566666666666</c:v>
                </c:pt>
                <c:pt idx="31">
                  <c:v>14.450200000000001</c:v>
                </c:pt>
              </c:numCache>
            </c:numRef>
          </c:yVal>
          <c:smooth val="1"/>
          <c:extLst>
            <c:ext xmlns:c16="http://schemas.microsoft.com/office/drawing/2014/chart" uri="{C3380CC4-5D6E-409C-BE32-E72D297353CC}">
              <c16:uniqueId val="{00000002-EA92-44D3-9BEE-3108C61EC164}"/>
            </c:ext>
          </c:extLst>
        </c:ser>
        <c:ser>
          <c:idx val="2"/>
          <c:order val="2"/>
          <c:tx>
            <c:strRef>
              <c:f>'Phase CEMS PM Concentrations'!$C$38:$D$38</c:f>
              <c:strCache>
                <c:ptCount val="2"/>
                <c:pt idx="0">
                  <c:v>Spruce</c:v>
                </c:pt>
                <c:pt idx="1">
                  <c:v>Low</c:v>
                </c:pt>
              </c:strCache>
            </c:strRef>
          </c:tx>
          <c:spPr>
            <a:ln w="19050" cap="rnd">
              <a:solidFill>
                <a:schemeClr val="accent1"/>
              </a:solidFill>
              <a:round/>
            </a:ln>
            <a:effectLst/>
          </c:spPr>
          <c:marker>
            <c:symbol val="none"/>
          </c:marker>
          <c:errBars>
            <c:errDir val="y"/>
            <c:errBarType val="both"/>
            <c:errValType val="cust"/>
            <c:noEndCap val="0"/>
            <c:plus>
              <c:numRef>
                <c:f>'Phase CEMS PM Concentrations'!$BC$39:$CH$39</c:f>
                <c:numCache>
                  <c:formatCode>General</c:formatCode>
                  <c:ptCount val="32"/>
                  <c:pt idx="0">
                    <c:v>1.2749120110258603</c:v>
                  </c:pt>
                  <c:pt idx="1">
                    <c:v>1.1945676531156915</c:v>
                  </c:pt>
                  <c:pt idx="2">
                    <c:v>0.868990633225316</c:v>
                  </c:pt>
                  <c:pt idx="3">
                    <c:v>0.4382647042979087</c:v>
                  </c:pt>
                  <c:pt idx="4">
                    <c:v>0.76829245124062884</c:v>
                  </c:pt>
                  <c:pt idx="5">
                    <c:v>1.4261983144658861</c:v>
                  </c:pt>
                  <c:pt idx="6">
                    <c:v>1.4843888438713126</c:v>
                  </c:pt>
                  <c:pt idx="7">
                    <c:v>2.2412444881773466</c:v>
                  </c:pt>
                  <c:pt idx="8">
                    <c:v>1.8182170494460588</c:v>
                  </c:pt>
                  <c:pt idx="9">
                    <c:v>1.7510552570499689</c:v>
                  </c:pt>
                  <c:pt idx="10">
                    <c:v>1.844737227008046</c:v>
                  </c:pt>
                  <c:pt idx="11">
                    <c:v>1.4483715888110342</c:v>
                  </c:pt>
                  <c:pt idx="12">
                    <c:v>1.5429804461901007</c:v>
                  </c:pt>
                  <c:pt idx="13">
                    <c:v>2.0401730044859758</c:v>
                  </c:pt>
                  <c:pt idx="14">
                    <c:v>2.5746235501978405</c:v>
                  </c:pt>
                  <c:pt idx="15">
                    <c:v>3.096001324940501</c:v>
                  </c:pt>
                  <c:pt idx="16">
                    <c:v>3.6104818363389302</c:v>
                  </c:pt>
                  <c:pt idx="17">
                    <c:v>4.0414594944937079</c:v>
                  </c:pt>
                  <c:pt idx="18">
                    <c:v>4.2588838236483317</c:v>
                  </c:pt>
                  <c:pt idx="19">
                    <c:v>4.3081253788625808</c:v>
                  </c:pt>
                  <c:pt idx="20">
                    <c:v>4.3575126930394514</c:v>
                  </c:pt>
                  <c:pt idx="21">
                    <c:v>4.3972957670974653</c:v>
                  </c:pt>
                  <c:pt idx="22">
                    <c:v>4.4368175580401434</c:v>
                  </c:pt>
                  <c:pt idx="23">
                    <c:v>4.5878946504179119</c:v>
                  </c:pt>
                  <c:pt idx="24">
                    <c:v>4.4025392733436579</c:v>
                  </c:pt>
                  <c:pt idx="25">
                    <c:v>3.983005068203338</c:v>
                  </c:pt>
                  <c:pt idx="26">
                    <c:v>3.5933445428087567</c:v>
                  </c:pt>
                  <c:pt idx="27">
                    <c:v>2.9906995686628375</c:v>
                  </c:pt>
                  <c:pt idx="28">
                    <c:v>2.6271388169134475</c:v>
                  </c:pt>
                  <c:pt idx="29">
                    <c:v>2.4311842839516182</c:v>
                  </c:pt>
                  <c:pt idx="30">
                    <c:v>2.2271938498777635</c:v>
                  </c:pt>
                  <c:pt idx="31">
                    <c:v>1.9938662357590604</c:v>
                  </c:pt>
                </c:numCache>
              </c:numRef>
            </c:plus>
            <c:minus>
              <c:numRef>
                <c:f>'Phase CEMS PM Concentrations'!$BC$39:$CH$39</c:f>
                <c:numCache>
                  <c:formatCode>General</c:formatCode>
                  <c:ptCount val="32"/>
                  <c:pt idx="0">
                    <c:v>1.2749120110258603</c:v>
                  </c:pt>
                  <c:pt idx="1">
                    <c:v>1.1945676531156915</c:v>
                  </c:pt>
                  <c:pt idx="2">
                    <c:v>0.868990633225316</c:v>
                  </c:pt>
                  <c:pt idx="3">
                    <c:v>0.4382647042979087</c:v>
                  </c:pt>
                  <c:pt idx="4">
                    <c:v>0.76829245124062884</c:v>
                  </c:pt>
                  <c:pt idx="5">
                    <c:v>1.4261983144658861</c:v>
                  </c:pt>
                  <c:pt idx="6">
                    <c:v>1.4843888438713126</c:v>
                  </c:pt>
                  <c:pt idx="7">
                    <c:v>2.2412444881773466</c:v>
                  </c:pt>
                  <c:pt idx="8">
                    <c:v>1.8182170494460588</c:v>
                  </c:pt>
                  <c:pt idx="9">
                    <c:v>1.7510552570499689</c:v>
                  </c:pt>
                  <c:pt idx="10">
                    <c:v>1.844737227008046</c:v>
                  </c:pt>
                  <c:pt idx="11">
                    <c:v>1.4483715888110342</c:v>
                  </c:pt>
                  <c:pt idx="12">
                    <c:v>1.5429804461901007</c:v>
                  </c:pt>
                  <c:pt idx="13">
                    <c:v>2.0401730044859758</c:v>
                  </c:pt>
                  <c:pt idx="14">
                    <c:v>2.5746235501978405</c:v>
                  </c:pt>
                  <c:pt idx="15">
                    <c:v>3.096001324940501</c:v>
                  </c:pt>
                  <c:pt idx="16">
                    <c:v>3.6104818363389302</c:v>
                  </c:pt>
                  <c:pt idx="17">
                    <c:v>4.0414594944937079</c:v>
                  </c:pt>
                  <c:pt idx="18">
                    <c:v>4.2588838236483317</c:v>
                  </c:pt>
                  <c:pt idx="19">
                    <c:v>4.3081253788625808</c:v>
                  </c:pt>
                  <c:pt idx="20">
                    <c:v>4.3575126930394514</c:v>
                  </c:pt>
                  <c:pt idx="21">
                    <c:v>4.3972957670974653</c:v>
                  </c:pt>
                  <c:pt idx="22">
                    <c:v>4.4368175580401434</c:v>
                  </c:pt>
                  <c:pt idx="23">
                    <c:v>4.5878946504179119</c:v>
                  </c:pt>
                  <c:pt idx="24">
                    <c:v>4.4025392733436579</c:v>
                  </c:pt>
                  <c:pt idx="25">
                    <c:v>3.983005068203338</c:v>
                  </c:pt>
                  <c:pt idx="26">
                    <c:v>3.5933445428087567</c:v>
                  </c:pt>
                  <c:pt idx="27">
                    <c:v>2.9906995686628375</c:v>
                  </c:pt>
                  <c:pt idx="28">
                    <c:v>2.6271388169134475</c:v>
                  </c:pt>
                  <c:pt idx="29">
                    <c:v>2.4311842839516182</c:v>
                  </c:pt>
                  <c:pt idx="30">
                    <c:v>2.2271938498777635</c:v>
                  </c:pt>
                  <c:pt idx="31">
                    <c:v>1.9938662357590604</c:v>
                  </c:pt>
                </c:numCache>
              </c:numRef>
            </c:minus>
            <c:spPr>
              <a:noFill/>
              <a:ln w="9525" cap="flat" cmpd="sng" algn="ctr">
                <a:solidFill>
                  <a:schemeClr val="accent1"/>
                </a:solidFill>
                <a:round/>
              </a:ln>
              <a:effectLst/>
            </c:spPr>
          </c:errBars>
          <c:xVal>
            <c:numRef>
              <c:f>'Phase CEMS PM Concentrations'!$BC$31:$CH$31</c:f>
              <c:numCache>
                <c:formatCode>0</c:formatCode>
                <c:ptCount val="32"/>
                <c:pt idx="0">
                  <c:v>6.04</c:v>
                </c:pt>
                <c:pt idx="1">
                  <c:v>6.98</c:v>
                </c:pt>
                <c:pt idx="2">
                  <c:v>8.06</c:v>
                </c:pt>
                <c:pt idx="3">
                  <c:v>9.31</c:v>
                </c:pt>
                <c:pt idx="4">
                  <c:v>10.8</c:v>
                </c:pt>
                <c:pt idx="5">
                  <c:v>12.4</c:v>
                </c:pt>
                <c:pt idx="6">
                  <c:v>14.3</c:v>
                </c:pt>
                <c:pt idx="7">
                  <c:v>16.5</c:v>
                </c:pt>
                <c:pt idx="8">
                  <c:v>19.100000000000001</c:v>
                </c:pt>
                <c:pt idx="9">
                  <c:v>22.1</c:v>
                </c:pt>
                <c:pt idx="10">
                  <c:v>25.5</c:v>
                </c:pt>
                <c:pt idx="11">
                  <c:v>29.4</c:v>
                </c:pt>
                <c:pt idx="12">
                  <c:v>34</c:v>
                </c:pt>
                <c:pt idx="13">
                  <c:v>39.200000000000003</c:v>
                </c:pt>
                <c:pt idx="14">
                  <c:v>45.3</c:v>
                </c:pt>
                <c:pt idx="15">
                  <c:v>52.3</c:v>
                </c:pt>
                <c:pt idx="16">
                  <c:v>60.4</c:v>
                </c:pt>
                <c:pt idx="17">
                  <c:v>69.8</c:v>
                </c:pt>
                <c:pt idx="18">
                  <c:v>80.599999999999994</c:v>
                </c:pt>
                <c:pt idx="19">
                  <c:v>93.1</c:v>
                </c:pt>
                <c:pt idx="20">
                  <c:v>107.5</c:v>
                </c:pt>
                <c:pt idx="21">
                  <c:v>124.1</c:v>
                </c:pt>
                <c:pt idx="22">
                  <c:v>143.30000000000001</c:v>
                </c:pt>
                <c:pt idx="23">
                  <c:v>165.5</c:v>
                </c:pt>
                <c:pt idx="24">
                  <c:v>191.1</c:v>
                </c:pt>
                <c:pt idx="25">
                  <c:v>220.7</c:v>
                </c:pt>
                <c:pt idx="26">
                  <c:v>254.8</c:v>
                </c:pt>
                <c:pt idx="27">
                  <c:v>294.3</c:v>
                </c:pt>
                <c:pt idx="28">
                  <c:v>339.8</c:v>
                </c:pt>
                <c:pt idx="29">
                  <c:v>392.4</c:v>
                </c:pt>
                <c:pt idx="30">
                  <c:v>453.2</c:v>
                </c:pt>
                <c:pt idx="31">
                  <c:v>523.29999999999995</c:v>
                </c:pt>
              </c:numCache>
            </c:numRef>
          </c:xVal>
          <c:yVal>
            <c:numRef>
              <c:f>'Phase CEMS PM Concentrations'!$BC$38:$CH$38</c:f>
              <c:numCache>
                <c:formatCode>0.00</c:formatCode>
                <c:ptCount val="32"/>
                <c:pt idx="0">
                  <c:v>1.3180950333333332</c:v>
                </c:pt>
                <c:pt idx="1">
                  <c:v>2.087153666666667</c:v>
                </c:pt>
                <c:pt idx="2">
                  <c:v>3.3313933333333332</c:v>
                </c:pt>
                <c:pt idx="3">
                  <c:v>6.3026866666666663</c:v>
                </c:pt>
                <c:pt idx="4">
                  <c:v>5.8888066666666665</c:v>
                </c:pt>
                <c:pt idx="5">
                  <c:v>2.2623986666666664</c:v>
                </c:pt>
                <c:pt idx="6">
                  <c:v>1.8071407333333334</c:v>
                </c:pt>
                <c:pt idx="7">
                  <c:v>2.5496813333333335</c:v>
                </c:pt>
                <c:pt idx="8">
                  <c:v>2.2802643333333337</c:v>
                </c:pt>
                <c:pt idx="9">
                  <c:v>1.3969203333333333</c:v>
                </c:pt>
                <c:pt idx="10">
                  <c:v>1.4111293333333332</c:v>
                </c:pt>
                <c:pt idx="11">
                  <c:v>1.669505</c:v>
                </c:pt>
                <c:pt idx="12">
                  <c:v>2.6331649999999995</c:v>
                </c:pt>
                <c:pt idx="13">
                  <c:v>4.366626666666666</c:v>
                </c:pt>
                <c:pt idx="14">
                  <c:v>6.2852433333333337</c:v>
                </c:pt>
                <c:pt idx="15">
                  <c:v>7.9856733333333336</c:v>
                </c:pt>
                <c:pt idx="16">
                  <c:v>10.282246666666667</c:v>
                </c:pt>
                <c:pt idx="17">
                  <c:v>13.295076666666667</c:v>
                </c:pt>
                <c:pt idx="18">
                  <c:v>16.723266666666664</c:v>
                </c:pt>
                <c:pt idx="19">
                  <c:v>20.647400000000001</c:v>
                </c:pt>
                <c:pt idx="20">
                  <c:v>24.006</c:v>
                </c:pt>
                <c:pt idx="21">
                  <c:v>26.768366666666669</c:v>
                </c:pt>
                <c:pt idx="22">
                  <c:v>29.123333333333335</c:v>
                </c:pt>
                <c:pt idx="23">
                  <c:v>31.071066666666667</c:v>
                </c:pt>
                <c:pt idx="24">
                  <c:v>29.877266666666667</c:v>
                </c:pt>
                <c:pt idx="25">
                  <c:v>25.541666666666668</c:v>
                </c:pt>
                <c:pt idx="26">
                  <c:v>20.779566666666664</c:v>
                </c:pt>
                <c:pt idx="27">
                  <c:v>15.590999999999999</c:v>
                </c:pt>
                <c:pt idx="28">
                  <c:v>12.069733333333332</c:v>
                </c:pt>
                <c:pt idx="29">
                  <c:v>10.221213333333333</c:v>
                </c:pt>
                <c:pt idx="30">
                  <c:v>8.6875766666666667</c:v>
                </c:pt>
                <c:pt idx="31">
                  <c:v>7.45845</c:v>
                </c:pt>
              </c:numCache>
            </c:numRef>
          </c:yVal>
          <c:smooth val="1"/>
          <c:extLst>
            <c:ext xmlns:c16="http://schemas.microsoft.com/office/drawing/2014/chart" uri="{C3380CC4-5D6E-409C-BE32-E72D297353CC}">
              <c16:uniqueId val="{00000003-EA92-44D3-9BEE-3108C61EC164}"/>
            </c:ext>
          </c:extLst>
        </c:ser>
        <c:ser>
          <c:idx val="3"/>
          <c:order val="3"/>
          <c:tx>
            <c:strRef>
              <c:f>'Phase CEMS PM Concentrations'!$E$41:$E$41</c:f>
              <c:strCache>
                <c:ptCount val="1"/>
              </c:strCache>
            </c:strRef>
          </c:tx>
          <c:spPr>
            <a:ln w="19050" cap="rnd">
              <a:solidFill>
                <a:schemeClr val="accent6">
                  <a:lumMod val="75000"/>
                </a:schemeClr>
              </a:solidFill>
              <a:round/>
            </a:ln>
            <a:effectLst/>
          </c:spPr>
          <c:marker>
            <c:symbol val="none"/>
          </c:marker>
          <c:errBars>
            <c:errDir val="y"/>
            <c:errBarType val="both"/>
            <c:errValType val="cust"/>
            <c:noEndCap val="0"/>
            <c:plus>
              <c:numRef>
                <c:f>'Phase CEMS PM Concentrations'!$BC$42:$CH$42</c:f>
                <c:numCache>
                  <c:formatCode>General</c:formatCode>
                  <c:ptCount val="32"/>
                  <c:pt idx="0">
                    <c:v>0.8833170008383181</c:v>
                  </c:pt>
                  <c:pt idx="1">
                    <c:v>0.90856191726265967</c:v>
                  </c:pt>
                  <c:pt idx="2">
                    <c:v>1.0905441212073881</c:v>
                  </c:pt>
                  <c:pt idx="3">
                    <c:v>1.9699885805303532</c:v>
                  </c:pt>
                  <c:pt idx="4">
                    <c:v>3.9976812501686561</c:v>
                  </c:pt>
                  <c:pt idx="5">
                    <c:v>7.6045320975619548</c:v>
                  </c:pt>
                  <c:pt idx="6">
                    <c:v>10.911297920592219</c:v>
                  </c:pt>
                  <c:pt idx="7">
                    <c:v>14.570650875647251</c:v>
                  </c:pt>
                  <c:pt idx="8">
                    <c:v>18.217659723109325</c:v>
                  </c:pt>
                  <c:pt idx="9">
                    <c:v>22.364958077716125</c:v>
                  </c:pt>
                  <c:pt idx="10">
                    <c:v>26.37345906840817</c:v>
                  </c:pt>
                  <c:pt idx="11">
                    <c:v>30.235535856885349</c:v>
                  </c:pt>
                  <c:pt idx="12">
                    <c:v>35.414723325235805</c:v>
                  </c:pt>
                  <c:pt idx="13">
                    <c:v>43.953486254243884</c:v>
                  </c:pt>
                  <c:pt idx="14">
                    <c:v>54.139520245824095</c:v>
                  </c:pt>
                  <c:pt idx="15">
                    <c:v>65.23411555135857</c:v>
                  </c:pt>
                  <c:pt idx="16">
                    <c:v>76.066032938809144</c:v>
                  </c:pt>
                  <c:pt idx="17">
                    <c:v>86.618703469862695</c:v>
                  </c:pt>
                  <c:pt idx="18">
                    <c:v>90.523480680428918</c:v>
                  </c:pt>
                  <c:pt idx="19">
                    <c:v>86.211061678302144</c:v>
                  </c:pt>
                  <c:pt idx="20">
                    <c:v>77.591250900471863</c:v>
                  </c:pt>
                  <c:pt idx="21">
                    <c:v>65.162190527176236</c:v>
                  </c:pt>
                  <c:pt idx="22">
                    <c:v>55.080639110307999</c:v>
                  </c:pt>
                  <c:pt idx="23">
                    <c:v>48.962718179243325</c:v>
                  </c:pt>
                  <c:pt idx="24">
                    <c:v>43.296395752995508</c:v>
                  </c:pt>
                  <c:pt idx="25">
                    <c:v>36.77397677298439</c:v>
                  </c:pt>
                  <c:pt idx="26">
                    <c:v>32.272100252416188</c:v>
                  </c:pt>
                  <c:pt idx="27">
                    <c:v>27.464819273445048</c:v>
                  </c:pt>
                  <c:pt idx="28">
                    <c:v>24.527201627030379</c:v>
                  </c:pt>
                  <c:pt idx="29">
                    <c:v>23.094804643252587</c:v>
                  </c:pt>
                  <c:pt idx="30">
                    <c:v>21.34059224920901</c:v>
                  </c:pt>
                  <c:pt idx="31">
                    <c:v>19.209539794982081</c:v>
                  </c:pt>
                </c:numCache>
              </c:numRef>
            </c:plus>
            <c:minus>
              <c:numRef>
                <c:f>'Phase CEMS PM Concentrations'!$BC$42:$CH$42</c:f>
                <c:numCache>
                  <c:formatCode>General</c:formatCode>
                  <c:ptCount val="32"/>
                  <c:pt idx="0">
                    <c:v>0.8833170008383181</c:v>
                  </c:pt>
                  <c:pt idx="1">
                    <c:v>0.90856191726265967</c:v>
                  </c:pt>
                  <c:pt idx="2">
                    <c:v>1.0905441212073881</c:v>
                  </c:pt>
                  <c:pt idx="3">
                    <c:v>1.9699885805303532</c:v>
                  </c:pt>
                  <c:pt idx="4">
                    <c:v>3.9976812501686561</c:v>
                  </c:pt>
                  <c:pt idx="5">
                    <c:v>7.6045320975619548</c:v>
                  </c:pt>
                  <c:pt idx="6">
                    <c:v>10.911297920592219</c:v>
                  </c:pt>
                  <c:pt idx="7">
                    <c:v>14.570650875647251</c:v>
                  </c:pt>
                  <c:pt idx="8">
                    <c:v>18.217659723109325</c:v>
                  </c:pt>
                  <c:pt idx="9">
                    <c:v>22.364958077716125</c:v>
                  </c:pt>
                  <c:pt idx="10">
                    <c:v>26.37345906840817</c:v>
                  </c:pt>
                  <c:pt idx="11">
                    <c:v>30.235535856885349</c:v>
                  </c:pt>
                  <c:pt idx="12">
                    <c:v>35.414723325235805</c:v>
                  </c:pt>
                  <c:pt idx="13">
                    <c:v>43.953486254243884</c:v>
                  </c:pt>
                  <c:pt idx="14">
                    <c:v>54.139520245824095</c:v>
                  </c:pt>
                  <c:pt idx="15">
                    <c:v>65.23411555135857</c:v>
                  </c:pt>
                  <c:pt idx="16">
                    <c:v>76.066032938809144</c:v>
                  </c:pt>
                  <c:pt idx="17">
                    <c:v>86.618703469862695</c:v>
                  </c:pt>
                  <c:pt idx="18">
                    <c:v>90.523480680428918</c:v>
                  </c:pt>
                  <c:pt idx="19">
                    <c:v>86.211061678302144</c:v>
                  </c:pt>
                  <c:pt idx="20">
                    <c:v>77.591250900471863</c:v>
                  </c:pt>
                  <c:pt idx="21">
                    <c:v>65.162190527176236</c:v>
                  </c:pt>
                  <c:pt idx="22">
                    <c:v>55.080639110307999</c:v>
                  </c:pt>
                  <c:pt idx="23">
                    <c:v>48.962718179243325</c:v>
                  </c:pt>
                  <c:pt idx="24">
                    <c:v>43.296395752995508</c:v>
                  </c:pt>
                  <c:pt idx="25">
                    <c:v>36.77397677298439</c:v>
                  </c:pt>
                  <c:pt idx="26">
                    <c:v>32.272100252416188</c:v>
                  </c:pt>
                  <c:pt idx="27">
                    <c:v>27.464819273445048</c:v>
                  </c:pt>
                  <c:pt idx="28">
                    <c:v>24.527201627030379</c:v>
                  </c:pt>
                  <c:pt idx="29">
                    <c:v>23.094804643252587</c:v>
                  </c:pt>
                  <c:pt idx="30">
                    <c:v>21.34059224920901</c:v>
                  </c:pt>
                  <c:pt idx="31">
                    <c:v>19.209539794982081</c:v>
                  </c:pt>
                </c:numCache>
              </c:numRef>
            </c:minus>
            <c:spPr>
              <a:noFill/>
              <a:ln w="9525" cap="flat" cmpd="sng" algn="ctr">
                <a:solidFill>
                  <a:schemeClr val="accent6">
                    <a:lumMod val="75000"/>
                  </a:schemeClr>
                </a:solidFill>
                <a:round/>
              </a:ln>
              <a:effectLst/>
            </c:spPr>
          </c:errBars>
          <c:xVal>
            <c:numRef>
              <c:f>'Phase CEMS PM Concentrations'!$BC$31:$CH$31</c:f>
              <c:numCache>
                <c:formatCode>0</c:formatCode>
                <c:ptCount val="32"/>
                <c:pt idx="0">
                  <c:v>6.04</c:v>
                </c:pt>
                <c:pt idx="1">
                  <c:v>6.98</c:v>
                </c:pt>
                <c:pt idx="2">
                  <c:v>8.06</c:v>
                </c:pt>
                <c:pt idx="3">
                  <c:v>9.31</c:v>
                </c:pt>
                <c:pt idx="4">
                  <c:v>10.8</c:v>
                </c:pt>
                <c:pt idx="5">
                  <c:v>12.4</c:v>
                </c:pt>
                <c:pt idx="6">
                  <c:v>14.3</c:v>
                </c:pt>
                <c:pt idx="7">
                  <c:v>16.5</c:v>
                </c:pt>
                <c:pt idx="8">
                  <c:v>19.100000000000001</c:v>
                </c:pt>
                <c:pt idx="9">
                  <c:v>22.1</c:v>
                </c:pt>
                <c:pt idx="10">
                  <c:v>25.5</c:v>
                </c:pt>
                <c:pt idx="11">
                  <c:v>29.4</c:v>
                </c:pt>
                <c:pt idx="12">
                  <c:v>34</c:v>
                </c:pt>
                <c:pt idx="13">
                  <c:v>39.200000000000003</c:v>
                </c:pt>
                <c:pt idx="14">
                  <c:v>45.3</c:v>
                </c:pt>
                <c:pt idx="15">
                  <c:v>52.3</c:v>
                </c:pt>
                <c:pt idx="16">
                  <c:v>60.4</c:v>
                </c:pt>
                <c:pt idx="17">
                  <c:v>69.8</c:v>
                </c:pt>
                <c:pt idx="18">
                  <c:v>80.599999999999994</c:v>
                </c:pt>
                <c:pt idx="19">
                  <c:v>93.1</c:v>
                </c:pt>
                <c:pt idx="20">
                  <c:v>107.5</c:v>
                </c:pt>
                <c:pt idx="21">
                  <c:v>124.1</c:v>
                </c:pt>
                <c:pt idx="22">
                  <c:v>143.30000000000001</c:v>
                </c:pt>
                <c:pt idx="23">
                  <c:v>165.5</c:v>
                </c:pt>
                <c:pt idx="24">
                  <c:v>191.1</c:v>
                </c:pt>
                <c:pt idx="25">
                  <c:v>220.7</c:v>
                </c:pt>
                <c:pt idx="26">
                  <c:v>254.8</c:v>
                </c:pt>
                <c:pt idx="27">
                  <c:v>294.3</c:v>
                </c:pt>
                <c:pt idx="28">
                  <c:v>339.8</c:v>
                </c:pt>
                <c:pt idx="29">
                  <c:v>392.4</c:v>
                </c:pt>
                <c:pt idx="30">
                  <c:v>453.2</c:v>
                </c:pt>
                <c:pt idx="31">
                  <c:v>523.29999999999995</c:v>
                </c:pt>
              </c:numCache>
            </c:numRef>
          </c:xVal>
          <c:yVal>
            <c:numRef>
              <c:f>'Phase CEMS PM Concentrations'!$BC$41:$CH$41</c:f>
              <c:numCache>
                <c:formatCode>0.00</c:formatCode>
                <c:ptCount val="32"/>
                <c:pt idx="0">
                  <c:v>3.3312619999999997</c:v>
                </c:pt>
                <c:pt idx="1">
                  <c:v>2.4398600000000004</c:v>
                </c:pt>
                <c:pt idx="2">
                  <c:v>3.5887900000000004</c:v>
                </c:pt>
                <c:pt idx="3">
                  <c:v>9.1980779999999989</c:v>
                </c:pt>
                <c:pt idx="4">
                  <c:v>11.48634</c:v>
                </c:pt>
                <c:pt idx="5">
                  <c:v>12.0695</c:v>
                </c:pt>
                <c:pt idx="6">
                  <c:v>17.487341999999998</c:v>
                </c:pt>
                <c:pt idx="7">
                  <c:v>25.2881</c:v>
                </c:pt>
                <c:pt idx="8">
                  <c:v>34.837620000000001</c:v>
                </c:pt>
                <c:pt idx="9">
                  <c:v>45.862139999999997</c:v>
                </c:pt>
                <c:pt idx="10">
                  <c:v>55.565860000000001</c:v>
                </c:pt>
                <c:pt idx="11">
                  <c:v>63.827740000000006</c:v>
                </c:pt>
                <c:pt idx="12">
                  <c:v>80.542940000000002</c:v>
                </c:pt>
                <c:pt idx="13">
                  <c:v>105.89697999999999</c:v>
                </c:pt>
                <c:pt idx="14">
                  <c:v>131.27735999999999</c:v>
                </c:pt>
                <c:pt idx="15">
                  <c:v>156.68106</c:v>
                </c:pt>
                <c:pt idx="16">
                  <c:v>181.47814</c:v>
                </c:pt>
                <c:pt idx="17">
                  <c:v>205.80459999999999</c:v>
                </c:pt>
                <c:pt idx="18">
                  <c:v>222.46400000000003</c:v>
                </c:pt>
                <c:pt idx="19">
                  <c:v>233.14179999999996</c:v>
                </c:pt>
                <c:pt idx="20">
                  <c:v>237.72960000000003</c:v>
                </c:pt>
                <c:pt idx="21">
                  <c:v>236.0966</c:v>
                </c:pt>
                <c:pt idx="22">
                  <c:v>233.95940000000002</c:v>
                </c:pt>
                <c:pt idx="23">
                  <c:v>231.31799999999998</c:v>
                </c:pt>
                <c:pt idx="24">
                  <c:v>208.8502</c:v>
                </c:pt>
                <c:pt idx="25">
                  <c:v>166.55620000000002</c:v>
                </c:pt>
                <c:pt idx="26">
                  <c:v>127.68402</c:v>
                </c:pt>
                <c:pt idx="27">
                  <c:v>92.234160000000003</c:v>
                </c:pt>
                <c:pt idx="28">
                  <c:v>68.742139999999992</c:v>
                </c:pt>
                <c:pt idx="29">
                  <c:v>57.207499999999996</c:v>
                </c:pt>
                <c:pt idx="30">
                  <c:v>47.885020000000004</c:v>
                </c:pt>
                <c:pt idx="31">
                  <c:v>40.774600000000007</c:v>
                </c:pt>
              </c:numCache>
            </c:numRef>
          </c:yVal>
          <c:smooth val="1"/>
          <c:extLst>
            <c:ext xmlns:c16="http://schemas.microsoft.com/office/drawing/2014/chart" uri="{C3380CC4-5D6E-409C-BE32-E72D297353CC}">
              <c16:uniqueId val="{00000001-EE3F-4D84-9CBC-4D409F9843D0}"/>
            </c:ext>
          </c:extLst>
        </c:ser>
        <c:ser>
          <c:idx val="4"/>
          <c:order val="4"/>
          <c:tx>
            <c:strRef>
              <c:f>'Phase CEMS PM Concentrations'!$E$44:$E$44</c:f>
              <c:strCache>
                <c:ptCount val="1"/>
              </c:strCache>
            </c:strRef>
          </c:tx>
          <c:spPr>
            <a:ln w="19050" cap="rnd">
              <a:solidFill>
                <a:srgbClr val="FFC000"/>
              </a:solidFill>
              <a:round/>
            </a:ln>
            <a:effectLst/>
          </c:spPr>
          <c:marker>
            <c:symbol val="none"/>
          </c:marker>
          <c:errBars>
            <c:errDir val="y"/>
            <c:errBarType val="both"/>
            <c:errValType val="cust"/>
            <c:noEndCap val="0"/>
            <c:plus>
              <c:numRef>
                <c:f>'Phase CEMS PM Concentrations'!$BC$45:$CH$45</c:f>
                <c:numCache>
                  <c:formatCode>General</c:formatCode>
                  <c:ptCount val="32"/>
                  <c:pt idx="0">
                    <c:v>-0.20827919568514239</c:v>
                  </c:pt>
                  <c:pt idx="1">
                    <c:v>0.20743171876553881</c:v>
                  </c:pt>
                  <c:pt idx="2">
                    <c:v>8.0644541384015236E-2</c:v>
                  </c:pt>
                  <c:pt idx="3">
                    <c:v>-0.13275654453405908</c:v>
                  </c:pt>
                  <c:pt idx="4">
                    <c:v>-0.14978650022080822</c:v>
                  </c:pt>
                  <c:pt idx="5">
                    <c:v>-0.10820358629469261</c:v>
                  </c:pt>
                  <c:pt idx="6">
                    <c:v>8.0965582715357379E-2</c:v>
                  </c:pt>
                  <c:pt idx="7">
                    <c:v>0.18117868836194065</c:v>
                  </c:pt>
                  <c:pt idx="8">
                    <c:v>0.2189480568326625</c:v>
                  </c:pt>
                  <c:pt idx="9">
                    <c:v>0.2308430365540339</c:v>
                  </c:pt>
                  <c:pt idx="10">
                    <c:v>0.20835327280542282</c:v>
                  </c:pt>
                  <c:pt idx="11">
                    <c:v>0.17653948376052975</c:v>
                  </c:pt>
                  <c:pt idx="12">
                    <c:v>0.14609423564069868</c:v>
                  </c:pt>
                  <c:pt idx="13">
                    <c:v>0.12049619771507114</c:v>
                  </c:pt>
                  <c:pt idx="14">
                    <c:v>0.10891672622854202</c:v>
                  </c:pt>
                  <c:pt idx="15">
                    <c:v>0.10473586818439791</c:v>
                  </c:pt>
                  <c:pt idx="16">
                    <c:v>0.10689518551680005</c:v>
                  </c:pt>
                  <c:pt idx="17">
                    <c:v>0.11424771400605541</c:v>
                  </c:pt>
                  <c:pt idx="18">
                    <c:v>0.12247696448710303</c:v>
                  </c:pt>
                  <c:pt idx="19">
                    <c:v>0.13069815975690649</c:v>
                  </c:pt>
                  <c:pt idx="20">
                    <c:v>0.13334125548676265</c:v>
                  </c:pt>
                  <c:pt idx="21">
                    <c:v>0.1299776970763093</c:v>
                  </c:pt>
                  <c:pt idx="22">
                    <c:v>0.12460509973576069</c:v>
                  </c:pt>
                  <c:pt idx="23">
                    <c:v>0.11712751298448928</c:v>
                  </c:pt>
                  <c:pt idx="24">
                    <c:v>0.10902676583208745</c:v>
                  </c:pt>
                  <c:pt idx="25">
                    <c:v>9.7047385221706445E-2</c:v>
                  </c:pt>
                  <c:pt idx="26">
                    <c:v>8.4011876617509473E-2</c:v>
                  </c:pt>
                  <c:pt idx="27">
                    <c:v>6.9991819634406441E-2</c:v>
                  </c:pt>
                  <c:pt idx="28">
                    <c:v>5.3688649552076993E-2</c:v>
                  </c:pt>
                  <c:pt idx="29">
                    <c:v>4.3989470980130653E-2</c:v>
                  </c:pt>
                  <c:pt idx="30">
                    <c:v>3.5188594375633209E-2</c:v>
                  </c:pt>
                  <c:pt idx="31">
                    <c:v>3.1191684212311107E-2</c:v>
                  </c:pt>
                </c:numCache>
              </c:numRef>
            </c:plus>
            <c:minus>
              <c:numRef>
                <c:f>'Phase CEMS PM Concentrations'!$BC$45:$CH$45</c:f>
                <c:numCache>
                  <c:formatCode>General</c:formatCode>
                  <c:ptCount val="32"/>
                  <c:pt idx="0">
                    <c:v>-0.20827919568514239</c:v>
                  </c:pt>
                  <c:pt idx="1">
                    <c:v>0.20743171876553881</c:v>
                  </c:pt>
                  <c:pt idx="2">
                    <c:v>8.0644541384015236E-2</c:v>
                  </c:pt>
                  <c:pt idx="3">
                    <c:v>-0.13275654453405908</c:v>
                  </c:pt>
                  <c:pt idx="4">
                    <c:v>-0.14978650022080822</c:v>
                  </c:pt>
                  <c:pt idx="5">
                    <c:v>-0.10820358629469261</c:v>
                  </c:pt>
                  <c:pt idx="6">
                    <c:v>8.0965582715357379E-2</c:v>
                  </c:pt>
                  <c:pt idx="7">
                    <c:v>0.18117868836194065</c:v>
                  </c:pt>
                  <c:pt idx="8">
                    <c:v>0.2189480568326625</c:v>
                  </c:pt>
                  <c:pt idx="9">
                    <c:v>0.2308430365540339</c:v>
                  </c:pt>
                  <c:pt idx="10">
                    <c:v>0.20835327280542282</c:v>
                  </c:pt>
                  <c:pt idx="11">
                    <c:v>0.17653948376052975</c:v>
                  </c:pt>
                  <c:pt idx="12">
                    <c:v>0.14609423564069868</c:v>
                  </c:pt>
                  <c:pt idx="13">
                    <c:v>0.12049619771507114</c:v>
                  </c:pt>
                  <c:pt idx="14">
                    <c:v>0.10891672622854202</c:v>
                  </c:pt>
                  <c:pt idx="15">
                    <c:v>0.10473586818439791</c:v>
                  </c:pt>
                  <c:pt idx="16">
                    <c:v>0.10689518551680005</c:v>
                  </c:pt>
                  <c:pt idx="17">
                    <c:v>0.11424771400605541</c:v>
                  </c:pt>
                  <c:pt idx="18">
                    <c:v>0.12247696448710303</c:v>
                  </c:pt>
                  <c:pt idx="19">
                    <c:v>0.13069815975690649</c:v>
                  </c:pt>
                  <c:pt idx="20">
                    <c:v>0.13334125548676265</c:v>
                  </c:pt>
                  <c:pt idx="21">
                    <c:v>0.1299776970763093</c:v>
                  </c:pt>
                  <c:pt idx="22">
                    <c:v>0.12460509973576069</c:v>
                  </c:pt>
                  <c:pt idx="23">
                    <c:v>0.11712751298448928</c:v>
                  </c:pt>
                  <c:pt idx="24">
                    <c:v>0.10902676583208745</c:v>
                  </c:pt>
                  <c:pt idx="25">
                    <c:v>9.7047385221706445E-2</c:v>
                  </c:pt>
                  <c:pt idx="26">
                    <c:v>8.4011876617509473E-2</c:v>
                  </c:pt>
                  <c:pt idx="27">
                    <c:v>6.9991819634406441E-2</c:v>
                  </c:pt>
                  <c:pt idx="28">
                    <c:v>5.3688649552076993E-2</c:v>
                  </c:pt>
                  <c:pt idx="29">
                    <c:v>4.3989470980130653E-2</c:v>
                  </c:pt>
                  <c:pt idx="30">
                    <c:v>3.5188594375633209E-2</c:v>
                  </c:pt>
                  <c:pt idx="31">
                    <c:v>3.1191684212311107E-2</c:v>
                  </c:pt>
                </c:numCache>
              </c:numRef>
            </c:minus>
            <c:spPr>
              <a:noFill/>
              <a:ln w="9525" cap="flat" cmpd="sng" algn="ctr">
                <a:solidFill>
                  <a:srgbClr val="FFC000"/>
                </a:solidFill>
                <a:round/>
              </a:ln>
              <a:effectLst/>
            </c:spPr>
          </c:errBars>
          <c:xVal>
            <c:numRef>
              <c:f>'Phase CEMS PM Concentrations'!$BC$31:$CH$31</c:f>
              <c:numCache>
                <c:formatCode>0</c:formatCode>
                <c:ptCount val="32"/>
                <c:pt idx="0">
                  <c:v>6.04</c:v>
                </c:pt>
                <c:pt idx="1">
                  <c:v>6.98</c:v>
                </c:pt>
                <c:pt idx="2">
                  <c:v>8.06</c:v>
                </c:pt>
                <c:pt idx="3">
                  <c:v>9.31</c:v>
                </c:pt>
                <c:pt idx="4">
                  <c:v>10.8</c:v>
                </c:pt>
                <c:pt idx="5">
                  <c:v>12.4</c:v>
                </c:pt>
                <c:pt idx="6">
                  <c:v>14.3</c:v>
                </c:pt>
                <c:pt idx="7">
                  <c:v>16.5</c:v>
                </c:pt>
                <c:pt idx="8">
                  <c:v>19.100000000000001</c:v>
                </c:pt>
                <c:pt idx="9">
                  <c:v>22.1</c:v>
                </c:pt>
                <c:pt idx="10">
                  <c:v>25.5</c:v>
                </c:pt>
                <c:pt idx="11">
                  <c:v>29.4</c:v>
                </c:pt>
                <c:pt idx="12">
                  <c:v>34</c:v>
                </c:pt>
                <c:pt idx="13">
                  <c:v>39.200000000000003</c:v>
                </c:pt>
                <c:pt idx="14">
                  <c:v>45.3</c:v>
                </c:pt>
                <c:pt idx="15">
                  <c:v>52.3</c:v>
                </c:pt>
                <c:pt idx="16">
                  <c:v>60.4</c:v>
                </c:pt>
                <c:pt idx="17">
                  <c:v>69.8</c:v>
                </c:pt>
                <c:pt idx="18">
                  <c:v>80.599999999999994</c:v>
                </c:pt>
                <c:pt idx="19">
                  <c:v>93.1</c:v>
                </c:pt>
                <c:pt idx="20">
                  <c:v>107.5</c:v>
                </c:pt>
                <c:pt idx="21">
                  <c:v>124.1</c:v>
                </c:pt>
                <c:pt idx="22">
                  <c:v>143.30000000000001</c:v>
                </c:pt>
                <c:pt idx="23">
                  <c:v>165.5</c:v>
                </c:pt>
                <c:pt idx="24">
                  <c:v>191.1</c:v>
                </c:pt>
                <c:pt idx="25">
                  <c:v>220.7</c:v>
                </c:pt>
                <c:pt idx="26">
                  <c:v>254.8</c:v>
                </c:pt>
                <c:pt idx="27">
                  <c:v>294.3</c:v>
                </c:pt>
                <c:pt idx="28">
                  <c:v>339.8</c:v>
                </c:pt>
                <c:pt idx="29">
                  <c:v>392.4</c:v>
                </c:pt>
                <c:pt idx="30">
                  <c:v>453.2</c:v>
                </c:pt>
                <c:pt idx="31">
                  <c:v>523.29999999999995</c:v>
                </c:pt>
              </c:numCache>
            </c:numRef>
          </c:xVal>
          <c:yVal>
            <c:numRef>
              <c:f>'Phase CEMS PM Concentrations'!$BC$44:$CH$44</c:f>
              <c:numCache>
                <c:formatCode>0.00</c:formatCode>
                <c:ptCount val="32"/>
                <c:pt idx="0">
                  <c:v>2.3935900000000001</c:v>
                </c:pt>
                <c:pt idx="1">
                  <c:v>1.0608515000000001</c:v>
                </c:pt>
                <c:pt idx="2">
                  <c:v>2.6018499999999998</c:v>
                </c:pt>
                <c:pt idx="3">
                  <c:v>11.240105</c:v>
                </c:pt>
                <c:pt idx="4">
                  <c:v>12.861840000000001</c:v>
                </c:pt>
                <c:pt idx="5">
                  <c:v>5.9699499999999999</c:v>
                </c:pt>
                <c:pt idx="6">
                  <c:v>3.9605100000000002</c:v>
                </c:pt>
                <c:pt idx="7">
                  <c:v>5.2914750000000002</c:v>
                </c:pt>
                <c:pt idx="8">
                  <c:v>7.1254799999999996</c:v>
                </c:pt>
                <c:pt idx="9">
                  <c:v>9.2576649999999994</c:v>
                </c:pt>
                <c:pt idx="10">
                  <c:v>12.109565</c:v>
                </c:pt>
                <c:pt idx="11">
                  <c:v>15.539300000000001</c:v>
                </c:pt>
                <c:pt idx="12">
                  <c:v>20.35005</c:v>
                </c:pt>
                <c:pt idx="13">
                  <c:v>26.701050000000002</c:v>
                </c:pt>
                <c:pt idx="14">
                  <c:v>31.8996</c:v>
                </c:pt>
                <c:pt idx="15">
                  <c:v>35.85615</c:v>
                </c:pt>
                <c:pt idx="16">
                  <c:v>38.364450000000005</c:v>
                </c:pt>
                <c:pt idx="17">
                  <c:v>39.4358</c:v>
                </c:pt>
                <c:pt idx="18">
                  <c:v>39.325150000000001</c:v>
                </c:pt>
                <c:pt idx="19">
                  <c:v>38.1417</c:v>
                </c:pt>
                <c:pt idx="20">
                  <c:v>37.237349999999999</c:v>
                </c:pt>
                <c:pt idx="21">
                  <c:v>36.609549999999999</c:v>
                </c:pt>
                <c:pt idx="22">
                  <c:v>35.990099999999998</c:v>
                </c:pt>
                <c:pt idx="23">
                  <c:v>35.378750000000004</c:v>
                </c:pt>
                <c:pt idx="24">
                  <c:v>31.704599999999999</c:v>
                </c:pt>
                <c:pt idx="25">
                  <c:v>24.967700000000001</c:v>
                </c:pt>
                <c:pt idx="26">
                  <c:v>18.759550000000001</c:v>
                </c:pt>
                <c:pt idx="27">
                  <c:v>13.0801</c:v>
                </c:pt>
                <c:pt idx="28">
                  <c:v>9.2979149999999997</c:v>
                </c:pt>
                <c:pt idx="29">
                  <c:v>7.4156950000000004</c:v>
                </c:pt>
                <c:pt idx="30">
                  <c:v>5.9914300000000003</c:v>
                </c:pt>
                <c:pt idx="31">
                  <c:v>5.013115</c:v>
                </c:pt>
              </c:numCache>
            </c:numRef>
          </c:yVal>
          <c:smooth val="1"/>
          <c:extLst>
            <c:ext xmlns:c16="http://schemas.microsoft.com/office/drawing/2014/chart" uri="{C3380CC4-5D6E-409C-BE32-E72D297353CC}">
              <c16:uniqueId val="{00000002-EE3F-4D84-9CBC-4D409F9843D0}"/>
            </c:ext>
          </c:extLst>
        </c:ser>
        <c:ser>
          <c:idx val="5"/>
          <c:order val="5"/>
          <c:tx>
            <c:strRef>
              <c:f>'Phase CEMS PM Concentrations'!$E$47:$E$47</c:f>
              <c:strCache>
                <c:ptCount val="1"/>
              </c:strCache>
            </c:strRef>
          </c:tx>
          <c:spPr>
            <a:ln w="19050" cap="rnd">
              <a:solidFill>
                <a:schemeClr val="accent5"/>
              </a:solidFill>
              <a:round/>
            </a:ln>
            <a:effectLst/>
          </c:spPr>
          <c:marker>
            <c:symbol val="none"/>
          </c:marker>
          <c:errBars>
            <c:errDir val="y"/>
            <c:errBarType val="both"/>
            <c:errValType val="cust"/>
            <c:noEndCap val="0"/>
            <c:plus>
              <c:numRef>
                <c:f>'Phase CEMS PM Concentrations'!$BC$48:$CH$48</c:f>
                <c:numCache>
                  <c:formatCode>General</c:formatCode>
                  <c:ptCount val="32"/>
                  <c:pt idx="0">
                    <c:v>0.75610221005496503</c:v>
                  </c:pt>
                  <c:pt idx="1">
                    <c:v>0.65351515824041861</c:v>
                  </c:pt>
                  <c:pt idx="2">
                    <c:v>1.1348144599228551</c:v>
                  </c:pt>
                  <c:pt idx="3">
                    <c:v>2.1809011609424274</c:v>
                  </c:pt>
                  <c:pt idx="4">
                    <c:v>2.3661914218845443</c:v>
                  </c:pt>
                  <c:pt idx="5">
                    <c:v>1.4495476882289882</c:v>
                  </c:pt>
                  <c:pt idx="6">
                    <c:v>0.9902111231702071</c:v>
                  </c:pt>
                  <c:pt idx="7">
                    <c:v>1.0282110415911718</c:v>
                  </c:pt>
                  <c:pt idx="8">
                    <c:v>0.15645444640533551</c:v>
                  </c:pt>
                  <c:pt idx="9">
                    <c:v>1.6120408265456607</c:v>
                  </c:pt>
                  <c:pt idx="10">
                    <c:v>3.4882496754748034</c:v>
                  </c:pt>
                  <c:pt idx="11">
                    <c:v>5.5164935534268524</c:v>
                  </c:pt>
                  <c:pt idx="12">
                    <c:v>6.692553551896312</c:v>
                  </c:pt>
                  <c:pt idx="13">
                    <c:v>7.6089639403140783</c:v>
                  </c:pt>
                  <c:pt idx="14">
                    <c:v>8.378366828923161</c:v>
                  </c:pt>
                  <c:pt idx="15">
                    <c:v>8.6416226835589196</c:v>
                  </c:pt>
                  <c:pt idx="16">
                    <c:v>8.1113633083471317</c:v>
                  </c:pt>
                  <c:pt idx="17">
                    <c:v>6.7759921520763404</c:v>
                  </c:pt>
                  <c:pt idx="18">
                    <c:v>5.316028780960468</c:v>
                  </c:pt>
                  <c:pt idx="19">
                    <c:v>3.7138662361479864</c:v>
                  </c:pt>
                  <c:pt idx="20">
                    <c:v>2.6254167678675309</c:v>
                  </c:pt>
                  <c:pt idx="21">
                    <c:v>2.0361846871047824</c:v>
                  </c:pt>
                  <c:pt idx="22">
                    <c:v>1.5777673608615441</c:v>
                  </c:pt>
                  <c:pt idx="23">
                    <c:v>1.2528517949063243</c:v>
                  </c:pt>
                  <c:pt idx="24">
                    <c:v>1.0247391472955454</c:v>
                  </c:pt>
                  <c:pt idx="25">
                    <c:v>0.88907364025709312</c:v>
                  </c:pt>
                  <c:pt idx="26">
                    <c:v>0.75523246871410399</c:v>
                  </c:pt>
                  <c:pt idx="27">
                    <c:v>0.62243781520727015</c:v>
                  </c:pt>
                  <c:pt idx="28">
                    <c:v>0.52588945530405717</c:v>
                  </c:pt>
                  <c:pt idx="29">
                    <c:v>0.46393275913649179</c:v>
                  </c:pt>
                  <c:pt idx="30">
                    <c:v>0.40616213511355309</c:v>
                  </c:pt>
                  <c:pt idx="31">
                    <c:v>0.35220988770901762</c:v>
                  </c:pt>
                </c:numCache>
              </c:numRef>
            </c:plus>
            <c:minus>
              <c:numRef>
                <c:f>'Phase CEMS PM Concentrations'!$BC$48:$CH$48</c:f>
                <c:numCache>
                  <c:formatCode>General</c:formatCode>
                  <c:ptCount val="32"/>
                  <c:pt idx="0">
                    <c:v>0.75610221005496503</c:v>
                  </c:pt>
                  <c:pt idx="1">
                    <c:v>0.65351515824041861</c:v>
                  </c:pt>
                  <c:pt idx="2">
                    <c:v>1.1348144599228551</c:v>
                  </c:pt>
                  <c:pt idx="3">
                    <c:v>2.1809011609424274</c:v>
                  </c:pt>
                  <c:pt idx="4">
                    <c:v>2.3661914218845443</c:v>
                  </c:pt>
                  <c:pt idx="5">
                    <c:v>1.4495476882289882</c:v>
                  </c:pt>
                  <c:pt idx="6">
                    <c:v>0.9902111231702071</c:v>
                  </c:pt>
                  <c:pt idx="7">
                    <c:v>1.0282110415911718</c:v>
                  </c:pt>
                  <c:pt idx="8">
                    <c:v>0.15645444640533551</c:v>
                  </c:pt>
                  <c:pt idx="9">
                    <c:v>1.6120408265456607</c:v>
                  </c:pt>
                  <c:pt idx="10">
                    <c:v>3.4882496754748034</c:v>
                  </c:pt>
                  <c:pt idx="11">
                    <c:v>5.5164935534268524</c:v>
                  </c:pt>
                  <c:pt idx="12">
                    <c:v>6.692553551896312</c:v>
                  </c:pt>
                  <c:pt idx="13">
                    <c:v>7.6089639403140783</c:v>
                  </c:pt>
                  <c:pt idx="14">
                    <c:v>8.378366828923161</c:v>
                  </c:pt>
                  <c:pt idx="15">
                    <c:v>8.6416226835589196</c:v>
                  </c:pt>
                  <c:pt idx="16">
                    <c:v>8.1113633083471317</c:v>
                  </c:pt>
                  <c:pt idx="17">
                    <c:v>6.7759921520763404</c:v>
                  </c:pt>
                  <c:pt idx="18">
                    <c:v>5.316028780960468</c:v>
                  </c:pt>
                  <c:pt idx="19">
                    <c:v>3.7138662361479864</c:v>
                  </c:pt>
                  <c:pt idx="20">
                    <c:v>2.6254167678675309</c:v>
                  </c:pt>
                  <c:pt idx="21">
                    <c:v>2.0361846871047824</c:v>
                  </c:pt>
                  <c:pt idx="22">
                    <c:v>1.5777673608615441</c:v>
                  </c:pt>
                  <c:pt idx="23">
                    <c:v>1.2528517949063243</c:v>
                  </c:pt>
                  <c:pt idx="24">
                    <c:v>1.0247391472955454</c:v>
                  </c:pt>
                  <c:pt idx="25">
                    <c:v>0.88907364025709312</c:v>
                  </c:pt>
                  <c:pt idx="26">
                    <c:v>0.75523246871410399</c:v>
                  </c:pt>
                  <c:pt idx="27">
                    <c:v>0.62243781520727015</c:v>
                  </c:pt>
                  <c:pt idx="28">
                    <c:v>0.52588945530405717</c:v>
                  </c:pt>
                  <c:pt idx="29">
                    <c:v>0.46393275913649179</c:v>
                  </c:pt>
                  <c:pt idx="30">
                    <c:v>0.40616213511355309</c:v>
                  </c:pt>
                  <c:pt idx="31">
                    <c:v>0.35220988770901762</c:v>
                  </c:pt>
                </c:numCache>
              </c:numRef>
            </c:minus>
            <c:spPr>
              <a:noFill/>
              <a:ln w="9525" cap="flat" cmpd="sng" algn="ctr">
                <a:solidFill>
                  <a:schemeClr val="accent5"/>
                </a:solidFill>
                <a:round/>
              </a:ln>
              <a:effectLst/>
            </c:spPr>
          </c:errBars>
          <c:xVal>
            <c:numRef>
              <c:f>'Phase CEMS PM Concentrations'!$BC$31:$CH$31</c:f>
              <c:numCache>
                <c:formatCode>0</c:formatCode>
                <c:ptCount val="32"/>
                <c:pt idx="0">
                  <c:v>6.04</c:v>
                </c:pt>
                <c:pt idx="1">
                  <c:v>6.98</c:v>
                </c:pt>
                <c:pt idx="2">
                  <c:v>8.06</c:v>
                </c:pt>
                <c:pt idx="3">
                  <c:v>9.31</c:v>
                </c:pt>
                <c:pt idx="4">
                  <c:v>10.8</c:v>
                </c:pt>
                <c:pt idx="5">
                  <c:v>12.4</c:v>
                </c:pt>
                <c:pt idx="6">
                  <c:v>14.3</c:v>
                </c:pt>
                <c:pt idx="7">
                  <c:v>16.5</c:v>
                </c:pt>
                <c:pt idx="8">
                  <c:v>19.100000000000001</c:v>
                </c:pt>
                <c:pt idx="9">
                  <c:v>22.1</c:v>
                </c:pt>
                <c:pt idx="10">
                  <c:v>25.5</c:v>
                </c:pt>
                <c:pt idx="11">
                  <c:v>29.4</c:v>
                </c:pt>
                <c:pt idx="12">
                  <c:v>34</c:v>
                </c:pt>
                <c:pt idx="13">
                  <c:v>39.200000000000003</c:v>
                </c:pt>
                <c:pt idx="14">
                  <c:v>45.3</c:v>
                </c:pt>
                <c:pt idx="15">
                  <c:v>52.3</c:v>
                </c:pt>
                <c:pt idx="16">
                  <c:v>60.4</c:v>
                </c:pt>
                <c:pt idx="17">
                  <c:v>69.8</c:v>
                </c:pt>
                <c:pt idx="18">
                  <c:v>80.599999999999994</c:v>
                </c:pt>
                <c:pt idx="19">
                  <c:v>93.1</c:v>
                </c:pt>
                <c:pt idx="20">
                  <c:v>107.5</c:v>
                </c:pt>
                <c:pt idx="21">
                  <c:v>124.1</c:v>
                </c:pt>
                <c:pt idx="22">
                  <c:v>143.30000000000001</c:v>
                </c:pt>
                <c:pt idx="23">
                  <c:v>165.5</c:v>
                </c:pt>
                <c:pt idx="24">
                  <c:v>191.1</c:v>
                </c:pt>
                <c:pt idx="25">
                  <c:v>220.7</c:v>
                </c:pt>
                <c:pt idx="26">
                  <c:v>254.8</c:v>
                </c:pt>
                <c:pt idx="27">
                  <c:v>294.3</c:v>
                </c:pt>
                <c:pt idx="28">
                  <c:v>339.8</c:v>
                </c:pt>
                <c:pt idx="29">
                  <c:v>392.4</c:v>
                </c:pt>
                <c:pt idx="30">
                  <c:v>453.2</c:v>
                </c:pt>
                <c:pt idx="31">
                  <c:v>523.29999999999995</c:v>
                </c:pt>
              </c:numCache>
            </c:numRef>
          </c:xVal>
          <c:yVal>
            <c:numRef>
              <c:f>'Phase CEMS PM Concentrations'!$BC$47:$CH$47</c:f>
              <c:numCache>
                <c:formatCode>0.00</c:formatCode>
                <c:ptCount val="32"/>
                <c:pt idx="0">
                  <c:v>2.2630749999999997</c:v>
                </c:pt>
                <c:pt idx="1">
                  <c:v>2.4599150000000001</c:v>
                </c:pt>
                <c:pt idx="2">
                  <c:v>3.7320950000000002</c:v>
                </c:pt>
                <c:pt idx="3">
                  <c:v>7.585659999999999</c:v>
                </c:pt>
                <c:pt idx="4">
                  <c:v>7.6864400000000002</c:v>
                </c:pt>
                <c:pt idx="5">
                  <c:v>3.6648949999999996</c:v>
                </c:pt>
                <c:pt idx="6">
                  <c:v>3.1081849999999998</c:v>
                </c:pt>
                <c:pt idx="7">
                  <c:v>4.2956349999999999</c:v>
                </c:pt>
                <c:pt idx="8">
                  <c:v>6.1456800000000005</c:v>
                </c:pt>
                <c:pt idx="9">
                  <c:v>8.4991149999999998</c:v>
                </c:pt>
                <c:pt idx="10">
                  <c:v>11.255234999999999</c:v>
                </c:pt>
                <c:pt idx="11">
                  <c:v>14.12195</c:v>
                </c:pt>
                <c:pt idx="12">
                  <c:v>17.552849999999999</c:v>
                </c:pt>
                <c:pt idx="13">
                  <c:v>22.06165</c:v>
                </c:pt>
                <c:pt idx="14">
                  <c:v>26.087800000000001</c:v>
                </c:pt>
                <c:pt idx="15">
                  <c:v>29.247250000000001</c:v>
                </c:pt>
                <c:pt idx="16">
                  <c:v>31.212299999999999</c:v>
                </c:pt>
                <c:pt idx="17">
                  <c:v>31.972249999999999</c:v>
                </c:pt>
                <c:pt idx="18">
                  <c:v>30.9953</c:v>
                </c:pt>
                <c:pt idx="19">
                  <c:v>28.2683</c:v>
                </c:pt>
                <c:pt idx="20">
                  <c:v>25.33905</c:v>
                </c:pt>
                <c:pt idx="21">
                  <c:v>22.197200000000002</c:v>
                </c:pt>
                <c:pt idx="22">
                  <c:v>19.452849999999998</c:v>
                </c:pt>
                <c:pt idx="23">
                  <c:v>17.108000000000001</c:v>
                </c:pt>
                <c:pt idx="24">
                  <c:v>13.9795</c:v>
                </c:pt>
                <c:pt idx="25">
                  <c:v>10.06413</c:v>
                </c:pt>
                <c:pt idx="26">
                  <c:v>6.9030199999999997</c:v>
                </c:pt>
                <c:pt idx="27">
                  <c:v>4.4955800000000004</c:v>
                </c:pt>
                <c:pt idx="28">
                  <c:v>2.94333</c:v>
                </c:pt>
                <c:pt idx="29">
                  <c:v>2.2451400000000001</c:v>
                </c:pt>
                <c:pt idx="30">
                  <c:v>1.73655</c:v>
                </c:pt>
                <c:pt idx="31">
                  <c:v>1.4163000000000001</c:v>
                </c:pt>
              </c:numCache>
            </c:numRef>
          </c:yVal>
          <c:smooth val="1"/>
          <c:extLst>
            <c:ext xmlns:c16="http://schemas.microsoft.com/office/drawing/2014/chart" uri="{C3380CC4-5D6E-409C-BE32-E72D297353CC}">
              <c16:uniqueId val="{00000003-EE3F-4D84-9CBC-4D409F9843D0}"/>
            </c:ext>
          </c:extLst>
        </c:ser>
        <c:dLbls>
          <c:showLegendKey val="0"/>
          <c:showVal val="0"/>
          <c:showCatName val="0"/>
          <c:showSerName val="0"/>
          <c:showPercent val="0"/>
          <c:showBubbleSize val="0"/>
        </c:dLbls>
        <c:axId val="585911232"/>
        <c:axId val="585914840"/>
      </c:scatterChart>
      <c:valAx>
        <c:axId val="585911232"/>
        <c:scaling>
          <c:logBase val="10"/>
          <c:orientation val="minMax"/>
          <c:max val="600"/>
          <c:min val="4"/>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Diameter (nm)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in"/>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5914840"/>
        <c:crosses val="autoZero"/>
        <c:crossBetween val="midCat"/>
      </c:valAx>
      <c:valAx>
        <c:axId val="585914840"/>
        <c:scaling>
          <c:logBase val="10"/>
          <c:orientation val="minMax"/>
          <c:max val="500"/>
          <c:min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Particle Concentration </a:t>
                </a:r>
              </a:p>
              <a:p>
                <a:pPr>
                  <a:defRPr/>
                </a:pPr>
                <a:r>
                  <a:rPr lang="en-US"/>
                  <a:t>dN/dlogDp (#/cm3)</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5911232"/>
        <c:crosses val="autoZero"/>
        <c:crossBetween val="midCat"/>
      </c:valAx>
      <c:spPr>
        <a:noFill/>
        <a:ln>
          <a:solidFill>
            <a:schemeClr val="bg1">
              <a:lumMod val="50000"/>
            </a:schemeClr>
          </a:solidFill>
        </a:ln>
        <a:effectLst/>
      </c:spPr>
    </c:plotArea>
    <c:legend>
      <c:legendPos val="r"/>
      <c:layout>
        <c:manualLayout>
          <c:xMode val="edge"/>
          <c:yMode val="edge"/>
          <c:x val="0.14628016518761516"/>
          <c:y val="4.2974074513706169E-2"/>
          <c:w val="0.15086621551231275"/>
          <c:h val="0.2998728806741078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Chimney CO2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'Phase CEMS VOC Concentration'!$E$52</c:f>
              <c:strCache>
                <c:ptCount val="1"/>
                <c:pt idx="0">
                  <c:v>Spruce</c:v>
                </c:pt>
              </c:strCache>
            </c:strRef>
          </c:tx>
          <c:spPr>
            <a:solidFill>
              <a:schemeClr val="accent1"/>
            </a:solidFill>
            <a:ln>
              <a:noFill/>
            </a:ln>
            <a:effectLst/>
          </c:spPr>
          <c:invertIfNegative val="0"/>
          <c:errBars>
            <c:errBarType val="both"/>
            <c:errValType val="cust"/>
            <c:noEndCap val="0"/>
            <c:plus>
              <c:numRef>
                <c:f>'Phase CEMS VOC Concentration'!$G$60:$G$62</c:f>
                <c:numCache>
                  <c:formatCode>General</c:formatCode>
                  <c:ptCount val="3"/>
                  <c:pt idx="0">
                    <c:v>0.92546216502711054</c:v>
                  </c:pt>
                  <c:pt idx="1">
                    <c:v>0.44148150837077393</c:v>
                  </c:pt>
                  <c:pt idx="2">
                    <c:v>2.7474238497181358</c:v>
                  </c:pt>
                </c:numCache>
              </c:numRef>
            </c:plus>
            <c:minus>
              <c:numRef>
                <c:f>'Phase CEMS VOC Concentration'!$G$60:$G$62</c:f>
                <c:numCache>
                  <c:formatCode>General</c:formatCode>
                  <c:ptCount val="3"/>
                  <c:pt idx="0">
                    <c:v>0.92546216502711054</c:v>
                  </c:pt>
                  <c:pt idx="1">
                    <c:v>0.44148150837077393</c:v>
                  </c:pt>
                  <c:pt idx="2">
                    <c:v>2.7474238497181358</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Concentration'!$G$52:$G$54</c:f>
              <c:numCache>
                <c:formatCode>0.00</c:formatCode>
                <c:ptCount val="3"/>
                <c:pt idx="0">
                  <c:v>8.9852683333333339</c:v>
                </c:pt>
                <c:pt idx="1">
                  <c:v>9.6149766666666654</c:v>
                </c:pt>
                <c:pt idx="2">
                  <c:v>10.5159</c:v>
                </c:pt>
              </c:numCache>
            </c:numRef>
          </c:val>
          <c:extLst>
            <c:ext xmlns:c16="http://schemas.microsoft.com/office/drawing/2014/chart" uri="{C3380CC4-5D6E-409C-BE32-E72D297353CC}">
              <c16:uniqueId val="{00000000-75FD-4A49-BEB0-0FDA086B2CD3}"/>
            </c:ext>
          </c:extLst>
        </c:ser>
        <c:ser>
          <c:idx val="1"/>
          <c:order val="1"/>
          <c:tx>
            <c:strRef>
              <c:f>'Phase CEMS VOC Concentration'!$E$55</c:f>
              <c:strCache>
                <c:ptCount val="1"/>
                <c:pt idx="0">
                  <c:v>Birch</c:v>
                </c:pt>
              </c:strCache>
            </c:strRef>
          </c:tx>
          <c:spPr>
            <a:solidFill>
              <a:schemeClr val="accent2"/>
            </a:solidFill>
            <a:ln>
              <a:noFill/>
            </a:ln>
            <a:effectLst/>
          </c:spPr>
          <c:invertIfNegative val="0"/>
          <c:errBars>
            <c:errBarType val="both"/>
            <c:errValType val="cust"/>
            <c:noEndCap val="0"/>
            <c:plus>
              <c:numRef>
                <c:f>'Phase CEMS VOC Concentration'!$G$63:$G$65</c:f>
                <c:numCache>
                  <c:formatCode>General</c:formatCode>
                  <c:ptCount val="3"/>
                  <c:pt idx="0">
                    <c:v>1.4675799655896138</c:v>
                  </c:pt>
                  <c:pt idx="1">
                    <c:v>0.10813575393758841</c:v>
                  </c:pt>
                  <c:pt idx="2">
                    <c:v>0.56811301985901852</c:v>
                  </c:pt>
                </c:numCache>
              </c:numRef>
            </c:plus>
            <c:minus>
              <c:numRef>
                <c:f>'Phase CEMS VOC Concentration'!$G$63:$G$65</c:f>
                <c:numCache>
                  <c:formatCode>General</c:formatCode>
                  <c:ptCount val="3"/>
                  <c:pt idx="0">
                    <c:v>1.4675799655896138</c:v>
                  </c:pt>
                  <c:pt idx="1">
                    <c:v>0.10813575393758841</c:v>
                  </c:pt>
                  <c:pt idx="2">
                    <c:v>0.56811301985901852</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Concentration'!$G$55:$G$57</c:f>
              <c:numCache>
                <c:formatCode>0.00</c:formatCode>
                <c:ptCount val="3"/>
                <c:pt idx="0">
                  <c:v>9.3216900000000003</c:v>
                </c:pt>
                <c:pt idx="1">
                  <c:v>13.39335</c:v>
                </c:pt>
                <c:pt idx="2">
                  <c:v>12.585833333333333</c:v>
                </c:pt>
              </c:numCache>
            </c:numRef>
          </c:val>
          <c:extLst>
            <c:ext xmlns:c16="http://schemas.microsoft.com/office/drawing/2014/chart" uri="{C3380CC4-5D6E-409C-BE32-E72D297353CC}">
              <c16:uniqueId val="{00000002-75FD-4A49-BEB0-0FDA086B2CD3}"/>
            </c:ext>
          </c:extLst>
        </c:ser>
        <c:dLbls>
          <c:showLegendKey val="0"/>
          <c:showVal val="0"/>
          <c:showCatName val="0"/>
          <c:showSerName val="0"/>
          <c:showPercent val="0"/>
          <c:showBubbleSize val="0"/>
        </c:dLbls>
        <c:gapWidth val="219"/>
        <c:overlap val="-27"/>
        <c:axId val="1634184016"/>
        <c:axId val="1634171120"/>
      </c:barChart>
      <c:catAx>
        <c:axId val="16341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71120"/>
        <c:crosses val="autoZero"/>
        <c:auto val="1"/>
        <c:lblAlgn val="ctr"/>
        <c:lblOffset val="100"/>
        <c:noMultiLvlLbl val="0"/>
      </c:catAx>
      <c:valAx>
        <c:axId val="163417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84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MCE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'Phase CEMS VOC Concentration'!$R$1</c:f>
              <c:strCache>
                <c:ptCount val="1"/>
                <c:pt idx="0">
                  <c:v>10" MCE</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7600021872265965"/>
                  <c:y val="1.3472222222222222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'Phase CEMS VOC Concentration'!$Q$2:$Q$24</c:f>
              <c:numCache>
                <c:formatCode>0.000</c:formatCode>
                <c:ptCount val="23"/>
                <c:pt idx="1">
                  <c:v>0.91168850061747031</c:v>
                </c:pt>
                <c:pt idx="2">
                  <c:v>0.98935790793178235</c:v>
                </c:pt>
                <c:pt idx="3">
                  <c:v>0.92052153357425892</c:v>
                </c:pt>
                <c:pt idx="4">
                  <c:v>0.99552302618282495</c:v>
                </c:pt>
                <c:pt idx="5">
                  <c:v>0.93080482229641137</c:v>
                </c:pt>
                <c:pt idx="6">
                  <c:v>0.98666680868298262</c:v>
                </c:pt>
                <c:pt idx="7">
                  <c:v>0.91960903803436178</c:v>
                </c:pt>
                <c:pt idx="8">
                  <c:v>0.98387371951480307</c:v>
                </c:pt>
                <c:pt idx="9">
                  <c:v>0.91821280643745773</c:v>
                </c:pt>
                <c:pt idx="10">
                  <c:v>0.9587342455475959</c:v>
                </c:pt>
                <c:pt idx="11">
                  <c:v>0.91755576614796919</c:v>
                </c:pt>
                <c:pt idx="12">
                  <c:v>0.97309998895205485</c:v>
                </c:pt>
                <c:pt idx="13">
                  <c:v>0.94326070873671974</c:v>
                </c:pt>
                <c:pt idx="14">
                  <c:v>0.9892526384753505</c:v>
                </c:pt>
                <c:pt idx="15">
                  <c:v>0.88855077640717484</c:v>
                </c:pt>
                <c:pt idx="16">
                  <c:v>0.99401769186414024</c:v>
                </c:pt>
                <c:pt idx="17">
                  <c:v>0.87677241382507265</c:v>
                </c:pt>
                <c:pt idx="18">
                  <c:v>0.98679164881329262</c:v>
                </c:pt>
                <c:pt idx="19">
                  <c:v>0.93157463719470279</c:v>
                </c:pt>
                <c:pt idx="20">
                  <c:v>0.98987186354973156</c:v>
                </c:pt>
                <c:pt idx="21">
                  <c:v>0.95059510618051146</c:v>
                </c:pt>
                <c:pt idx="22">
                  <c:v>0.98317380055139603</c:v>
                </c:pt>
              </c:numCache>
            </c:numRef>
          </c:xVal>
          <c:yVal>
            <c:numRef>
              <c:f>'Phase CEMS VOC Concentration'!$R$2:$R$24</c:f>
              <c:numCache>
                <c:formatCode>0.000</c:formatCode>
                <c:ptCount val="23"/>
                <c:pt idx="1">
                  <c:v>0.93402503226183797</c:v>
                </c:pt>
                <c:pt idx="2">
                  <c:v>0.97887947025820798</c:v>
                </c:pt>
                <c:pt idx="3">
                  <c:v>0.93691374398206162</c:v>
                </c:pt>
                <c:pt idx="4">
                  <c:v>0.98591861563258443</c:v>
                </c:pt>
                <c:pt idx="5">
                  <c:v>0.94529692327697812</c:v>
                </c:pt>
                <c:pt idx="6">
                  <c:v>0.96992550084112406</c:v>
                </c:pt>
                <c:pt idx="7">
                  <c:v>0.92621758259291442</c:v>
                </c:pt>
                <c:pt idx="8">
                  <c:v>0.97241549172209463</c:v>
                </c:pt>
                <c:pt idx="9">
                  <c:v>0.93486517668914726</c:v>
                </c:pt>
                <c:pt idx="10">
                  <c:v>0.94079881963968814</c:v>
                </c:pt>
                <c:pt idx="11">
                  <c:v>0.9330872463059352</c:v>
                </c:pt>
                <c:pt idx="12">
                  <c:v>0.96501810150305467</c:v>
                </c:pt>
                <c:pt idx="13">
                  <c:v>0.95161665900105985</c:v>
                </c:pt>
                <c:pt idx="14">
                  <c:v>0.98017688533294811</c:v>
                </c:pt>
                <c:pt idx="15">
                  <c:v>0.906404103341233</c:v>
                </c:pt>
                <c:pt idx="16">
                  <c:v>0.99039809241601418</c:v>
                </c:pt>
                <c:pt idx="17">
                  <c:v>0.89782669035056983</c:v>
                </c:pt>
                <c:pt idx="18">
                  <c:v>0.98146029832626047</c:v>
                </c:pt>
                <c:pt idx="19">
                  <c:v>0.9385101597566341</c:v>
                </c:pt>
                <c:pt idx="20">
                  <c:v>0.98521477011056191</c:v>
                </c:pt>
                <c:pt idx="21">
                  <c:v>0.96067502759041046</c:v>
                </c:pt>
                <c:pt idx="22">
                  <c:v>0.97501812749799199</c:v>
                </c:pt>
              </c:numCache>
            </c:numRef>
          </c:yVal>
          <c:smooth val="0"/>
          <c:extLst>
            <c:ext xmlns:c16="http://schemas.microsoft.com/office/drawing/2014/chart" uri="{C3380CC4-5D6E-409C-BE32-E72D297353CC}">
              <c16:uniqueId val="{00000000-8ECE-4CF3-A72D-21DA452517AF}"/>
            </c:ext>
          </c:extLst>
        </c:ser>
        <c:dLbls>
          <c:showLegendKey val="0"/>
          <c:showVal val="0"/>
          <c:showCatName val="0"/>
          <c:showSerName val="0"/>
          <c:showPercent val="0"/>
          <c:showBubbleSize val="0"/>
        </c:dLbls>
        <c:axId val="669464080"/>
        <c:axId val="669466160"/>
      </c:scatterChart>
      <c:valAx>
        <c:axId val="66946408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Chimney MCE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466160"/>
        <c:crosses val="autoZero"/>
        <c:crossBetween val="midCat"/>
      </c:valAx>
      <c:valAx>
        <c:axId val="669466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10" Duct MCE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46408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Chimney CO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'Phase CEMS VOC Concentration'!$E$52</c:f>
              <c:strCache>
                <c:ptCount val="1"/>
                <c:pt idx="0">
                  <c:v>Spruce</c:v>
                </c:pt>
              </c:strCache>
            </c:strRef>
          </c:tx>
          <c:spPr>
            <a:solidFill>
              <a:schemeClr val="accent1"/>
            </a:solidFill>
            <a:ln>
              <a:noFill/>
            </a:ln>
            <a:effectLst/>
          </c:spPr>
          <c:invertIfNegative val="0"/>
          <c:errBars>
            <c:errBarType val="both"/>
            <c:errValType val="cust"/>
            <c:noEndCap val="0"/>
            <c:plus>
              <c:numRef>
                <c:f>'Phase CEMS VOC Concentration'!$H$60:$H$62</c:f>
                <c:numCache>
                  <c:formatCode>General</c:formatCode>
                  <c:ptCount val="3"/>
                  <c:pt idx="0">
                    <c:v>9.2975252444220918E-2</c:v>
                  </c:pt>
                  <c:pt idx="1">
                    <c:v>0.11740114356688922</c:v>
                  </c:pt>
                  <c:pt idx="2">
                    <c:v>9.7333867605268978E-2</c:v>
                  </c:pt>
                </c:numCache>
              </c:numRef>
            </c:plus>
            <c:minus>
              <c:numRef>
                <c:f>'Phase CEMS VOC Concentration'!$H$60:$H$62</c:f>
                <c:numCache>
                  <c:formatCode>General</c:formatCode>
                  <c:ptCount val="3"/>
                  <c:pt idx="0">
                    <c:v>9.2975252444220918E-2</c:v>
                  </c:pt>
                  <c:pt idx="1">
                    <c:v>0.11740114356688922</c:v>
                  </c:pt>
                  <c:pt idx="2">
                    <c:v>9.7333867605268978E-2</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Concentration'!$H$52:$H$54</c:f>
              <c:numCache>
                <c:formatCode>0.00</c:formatCode>
                <c:ptCount val="3"/>
                <c:pt idx="0">
                  <c:v>0.78561333333333339</c:v>
                </c:pt>
                <c:pt idx="1">
                  <c:v>0.14833706666666666</c:v>
                </c:pt>
                <c:pt idx="2">
                  <c:v>0.23972599999999999</c:v>
                </c:pt>
              </c:numCache>
            </c:numRef>
          </c:val>
          <c:extLst>
            <c:ext xmlns:c16="http://schemas.microsoft.com/office/drawing/2014/chart" uri="{C3380CC4-5D6E-409C-BE32-E72D297353CC}">
              <c16:uniqueId val="{00000000-50C3-4A01-8E67-AD82AA269BD3}"/>
            </c:ext>
          </c:extLst>
        </c:ser>
        <c:ser>
          <c:idx val="1"/>
          <c:order val="1"/>
          <c:tx>
            <c:strRef>
              <c:f>'Phase CEMS VOC Concentration'!$E$55</c:f>
              <c:strCache>
                <c:ptCount val="1"/>
                <c:pt idx="0">
                  <c:v>Birch</c:v>
                </c:pt>
              </c:strCache>
            </c:strRef>
          </c:tx>
          <c:spPr>
            <a:solidFill>
              <a:schemeClr val="accent2"/>
            </a:solidFill>
            <a:ln>
              <a:noFill/>
            </a:ln>
            <a:effectLst/>
          </c:spPr>
          <c:invertIfNegative val="0"/>
          <c:errBars>
            <c:errBarType val="both"/>
            <c:errValType val="cust"/>
            <c:noEndCap val="0"/>
            <c:plus>
              <c:numRef>
                <c:f>'Phase CEMS VOC Concentration'!$H$63:$H$65</c:f>
                <c:numCache>
                  <c:formatCode>General</c:formatCode>
                  <c:ptCount val="3"/>
                  <c:pt idx="0">
                    <c:v>0.36770378800292491</c:v>
                  </c:pt>
                  <c:pt idx="1">
                    <c:v>0.32444156735106522</c:v>
                  </c:pt>
                  <c:pt idx="2">
                    <c:v>5.0352166975050086E-2</c:v>
                  </c:pt>
                </c:numCache>
              </c:numRef>
            </c:plus>
            <c:minus>
              <c:numRef>
                <c:f>'Phase CEMS VOC Concentration'!$H$63:$H$65</c:f>
                <c:numCache>
                  <c:formatCode>General</c:formatCode>
                  <c:ptCount val="3"/>
                  <c:pt idx="0">
                    <c:v>0.36770378800292491</c:v>
                  </c:pt>
                  <c:pt idx="1">
                    <c:v>0.32444156735106522</c:v>
                  </c:pt>
                  <c:pt idx="2">
                    <c:v>5.0352166975050086E-2</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Concentration'!$H$55:$H$57</c:f>
              <c:numCache>
                <c:formatCode>0.00</c:formatCode>
                <c:ptCount val="3"/>
                <c:pt idx="0">
                  <c:v>0.8376768</c:v>
                </c:pt>
                <c:pt idx="1">
                  <c:v>0.1938685</c:v>
                </c:pt>
                <c:pt idx="2">
                  <c:v>0.13469316666666667</c:v>
                </c:pt>
              </c:numCache>
            </c:numRef>
          </c:val>
          <c:extLst>
            <c:ext xmlns:c16="http://schemas.microsoft.com/office/drawing/2014/chart" uri="{C3380CC4-5D6E-409C-BE32-E72D297353CC}">
              <c16:uniqueId val="{00000001-50C3-4A01-8E67-AD82AA269BD3}"/>
            </c:ext>
          </c:extLst>
        </c:ser>
        <c:dLbls>
          <c:showLegendKey val="0"/>
          <c:showVal val="0"/>
          <c:showCatName val="0"/>
          <c:showSerName val="0"/>
          <c:showPercent val="0"/>
          <c:showBubbleSize val="0"/>
        </c:dLbls>
        <c:gapWidth val="219"/>
        <c:overlap val="-27"/>
        <c:axId val="1634184016"/>
        <c:axId val="1634171120"/>
      </c:barChart>
      <c:catAx>
        <c:axId val="16341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71120"/>
        <c:crosses val="autoZero"/>
        <c:auto val="1"/>
        <c:lblAlgn val="ctr"/>
        <c:lblOffset val="100"/>
        <c:noMultiLvlLbl val="0"/>
      </c:catAx>
      <c:valAx>
        <c:axId val="163417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84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 CO2 (ppm)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'Phase CEMS VOC Concentration'!$E$52</c:f>
              <c:strCache>
                <c:ptCount val="1"/>
                <c:pt idx="0">
                  <c:v>Spruce</c:v>
                </c:pt>
              </c:strCache>
            </c:strRef>
          </c:tx>
          <c:spPr>
            <a:solidFill>
              <a:schemeClr val="accent1"/>
            </a:solidFill>
            <a:ln>
              <a:noFill/>
            </a:ln>
            <a:effectLst/>
          </c:spPr>
          <c:invertIfNegative val="0"/>
          <c:errBars>
            <c:errBarType val="both"/>
            <c:errValType val="cust"/>
            <c:noEndCap val="0"/>
            <c:plus>
              <c:numRef>
                <c:f>'Phase CEMS VOC Concentration'!$J$60:$J$62</c:f>
                <c:numCache>
                  <c:formatCode>General</c:formatCode>
                  <c:ptCount val="3"/>
                  <c:pt idx="0">
                    <c:v>341.50810567247197</c:v>
                  </c:pt>
                  <c:pt idx="1">
                    <c:v>74.625729030498178</c:v>
                  </c:pt>
                  <c:pt idx="2">
                    <c:v>106.17523395940005</c:v>
                  </c:pt>
                </c:numCache>
              </c:numRef>
            </c:plus>
            <c:minus>
              <c:numRef>
                <c:f>'Phase CEMS VOC Concentration'!$J$60:$J$62</c:f>
                <c:numCache>
                  <c:formatCode>General</c:formatCode>
                  <c:ptCount val="3"/>
                  <c:pt idx="0">
                    <c:v>341.50810567247197</c:v>
                  </c:pt>
                  <c:pt idx="1">
                    <c:v>74.625729030498178</c:v>
                  </c:pt>
                  <c:pt idx="2">
                    <c:v>106.17523395940005</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Concentration'!$J$52:$J$54</c:f>
              <c:numCache>
                <c:formatCode>0</c:formatCode>
                <c:ptCount val="3"/>
                <c:pt idx="0">
                  <c:v>2323.52</c:v>
                </c:pt>
                <c:pt idx="1">
                  <c:v>1293.3433333333332</c:v>
                </c:pt>
                <c:pt idx="2">
                  <c:v>988.99766666666665</c:v>
                </c:pt>
              </c:numCache>
            </c:numRef>
          </c:val>
          <c:extLst>
            <c:ext xmlns:c16="http://schemas.microsoft.com/office/drawing/2014/chart" uri="{C3380CC4-5D6E-409C-BE32-E72D297353CC}">
              <c16:uniqueId val="{00000000-BF48-4D98-AFE6-804B1165E885}"/>
            </c:ext>
          </c:extLst>
        </c:ser>
        <c:ser>
          <c:idx val="1"/>
          <c:order val="1"/>
          <c:tx>
            <c:strRef>
              <c:f>'Phase CEMS VOC Concentration'!$E$55</c:f>
              <c:strCache>
                <c:ptCount val="1"/>
                <c:pt idx="0">
                  <c:v>Birch</c:v>
                </c:pt>
              </c:strCache>
            </c:strRef>
          </c:tx>
          <c:spPr>
            <a:solidFill>
              <a:schemeClr val="accent2"/>
            </a:solidFill>
            <a:ln>
              <a:noFill/>
            </a:ln>
            <a:effectLst/>
          </c:spPr>
          <c:invertIfNegative val="0"/>
          <c:errBars>
            <c:errBarType val="both"/>
            <c:errValType val="cust"/>
            <c:noEndCap val="0"/>
            <c:plus>
              <c:numRef>
                <c:f>'Phase CEMS VOC Concentration'!$J$63:$J$65</c:f>
                <c:numCache>
                  <c:formatCode>General</c:formatCode>
                  <c:ptCount val="3"/>
                  <c:pt idx="0">
                    <c:v>468.60745926628124</c:v>
                  </c:pt>
                  <c:pt idx="1">
                    <c:v>3.019586776042367E-2</c:v>
                  </c:pt>
                  <c:pt idx="2">
                    <c:v>41.70036610550715</c:v>
                  </c:pt>
                </c:numCache>
              </c:numRef>
            </c:plus>
            <c:minus>
              <c:numRef>
                <c:f>'Phase CEMS VOC Concentration'!$J$63:$J$65</c:f>
                <c:numCache>
                  <c:formatCode>General</c:formatCode>
                  <c:ptCount val="3"/>
                  <c:pt idx="0">
                    <c:v>468.60745926628124</c:v>
                  </c:pt>
                  <c:pt idx="1">
                    <c:v>3.019586776042367E-2</c:v>
                  </c:pt>
                  <c:pt idx="2">
                    <c:v>41.70036610550715</c:v>
                  </c:pt>
                </c:numCache>
              </c:numRef>
            </c:minus>
            <c:spPr>
              <a:noFill/>
              <a:ln w="9525" cap="flat" cmpd="sng" algn="ctr">
                <a:solidFill>
                  <a:schemeClr val="tx1">
                    <a:lumMod val="65000"/>
                    <a:lumOff val="35000"/>
                  </a:schemeClr>
                </a:solidFill>
                <a:round/>
              </a:ln>
              <a:effectLst/>
            </c:spPr>
          </c:errBars>
          <c:cat>
            <c:strRef>
              <c:f>'Phase CEMS VOC Concentration'!$F$52:$F$54</c:f>
              <c:strCache>
                <c:ptCount val="3"/>
                <c:pt idx="0">
                  <c:v>Startup</c:v>
                </c:pt>
                <c:pt idx="1">
                  <c:v>High</c:v>
                </c:pt>
                <c:pt idx="2">
                  <c:v>Low</c:v>
                </c:pt>
              </c:strCache>
            </c:strRef>
          </c:cat>
          <c:val>
            <c:numRef>
              <c:f>'Phase CEMS VOC Concentration'!$J$55:$J$57</c:f>
              <c:numCache>
                <c:formatCode>0</c:formatCode>
                <c:ptCount val="3"/>
                <c:pt idx="0">
                  <c:v>2224.8040000000001</c:v>
                </c:pt>
                <c:pt idx="1">
                  <c:v>1517.095</c:v>
                </c:pt>
                <c:pt idx="2">
                  <c:v>1083.3166666666666</c:v>
                </c:pt>
              </c:numCache>
            </c:numRef>
          </c:val>
          <c:extLst>
            <c:ext xmlns:c16="http://schemas.microsoft.com/office/drawing/2014/chart" uri="{C3380CC4-5D6E-409C-BE32-E72D297353CC}">
              <c16:uniqueId val="{00000001-BF48-4D98-AFE6-804B1165E885}"/>
            </c:ext>
          </c:extLst>
        </c:ser>
        <c:dLbls>
          <c:showLegendKey val="0"/>
          <c:showVal val="0"/>
          <c:showCatName val="0"/>
          <c:showSerName val="0"/>
          <c:showPercent val="0"/>
          <c:showBubbleSize val="0"/>
        </c:dLbls>
        <c:gapWidth val="219"/>
        <c:overlap val="-27"/>
        <c:axId val="1634184016"/>
        <c:axId val="1634171120"/>
      </c:barChart>
      <c:catAx>
        <c:axId val="163418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71120"/>
        <c:crosses val="autoZero"/>
        <c:auto val="1"/>
        <c:lblAlgn val="ctr"/>
        <c:lblOffset val="100"/>
        <c:noMultiLvlLbl val="0"/>
      </c:catAx>
      <c:valAx>
        <c:axId val="163417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 (ppm)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184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8" Type="http://schemas.openxmlformats.org/officeDocument/2006/relationships/chart" Target="../charts/chart13.xml"/><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cid:image001.png@01D9628D.BEA9F36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138</xdr:col>
      <xdr:colOff>595312</xdr:colOff>
      <xdr:row>27</xdr:row>
      <xdr:rowOff>95258</xdr:rowOff>
    </xdr:from>
    <xdr:to>
      <xdr:col>147</xdr:col>
      <xdr:colOff>83343</xdr:colOff>
      <xdr:row>41</xdr:row>
      <xdr:rowOff>47624</xdr:rowOff>
    </xdr:to>
    <xdr:graphicFrame macro="">
      <xdr:nvGraphicFramePr>
        <xdr:cNvPr id="5" name="Chart 4">
          <a:extLst>
            <a:ext uri="{FF2B5EF4-FFF2-40B4-BE49-F238E27FC236}">
              <a16:creationId xmlns:a16="http://schemas.microsoft.com/office/drawing/2014/main" id="{41D5A051-2D07-405E-B958-9FEF1C2642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404813</xdr:colOff>
      <xdr:row>65</xdr:row>
      <xdr:rowOff>1</xdr:rowOff>
    </xdr:from>
    <xdr:to>
      <xdr:col>14</xdr:col>
      <xdr:colOff>440045</xdr:colOff>
      <xdr:row>79</xdr:row>
      <xdr:rowOff>167369</xdr:rowOff>
    </xdr:to>
    <xdr:graphicFrame macro="">
      <xdr:nvGraphicFramePr>
        <xdr:cNvPr id="9" name="Chart 8">
          <a:extLst>
            <a:ext uri="{FF2B5EF4-FFF2-40B4-BE49-F238E27FC236}">
              <a16:creationId xmlns:a16="http://schemas.microsoft.com/office/drawing/2014/main" id="{E7E98C42-4F3F-4311-A31F-60D35CE5B6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1047751</xdr:colOff>
      <xdr:row>65</xdr:row>
      <xdr:rowOff>11907</xdr:rowOff>
    </xdr:from>
    <xdr:to>
      <xdr:col>9</xdr:col>
      <xdr:colOff>320983</xdr:colOff>
      <xdr:row>79</xdr:row>
      <xdr:rowOff>179275</xdr:rowOff>
    </xdr:to>
    <xdr:graphicFrame macro="">
      <xdr:nvGraphicFramePr>
        <xdr:cNvPr id="10" name="Chart 9">
          <a:extLst>
            <a:ext uri="{FF2B5EF4-FFF2-40B4-BE49-F238E27FC236}">
              <a16:creationId xmlns:a16="http://schemas.microsoft.com/office/drawing/2014/main" id="{059B1788-403C-444B-B286-6940E4E713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600075</xdr:colOff>
      <xdr:row>66</xdr:row>
      <xdr:rowOff>0</xdr:rowOff>
    </xdr:from>
    <xdr:to>
      <xdr:col>21</xdr:col>
      <xdr:colOff>48597</xdr:colOff>
      <xdr:row>83</xdr:row>
      <xdr:rowOff>142875</xdr:rowOff>
    </xdr:to>
    <xdr:graphicFrame macro="">
      <xdr:nvGraphicFramePr>
        <xdr:cNvPr id="2" name="Chart 1">
          <a:extLst>
            <a:ext uri="{FF2B5EF4-FFF2-40B4-BE49-F238E27FC236}">
              <a16:creationId xmlns:a16="http://schemas.microsoft.com/office/drawing/2014/main" id="{2D69655E-951D-4249-A6CF-80C9D013A1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54</xdr:col>
      <xdr:colOff>33046</xdr:colOff>
      <xdr:row>66</xdr:row>
      <xdr:rowOff>26727</xdr:rowOff>
    </xdr:from>
    <xdr:to>
      <xdr:col>63</xdr:col>
      <xdr:colOff>219075</xdr:colOff>
      <xdr:row>88</xdr:row>
      <xdr:rowOff>123824</xdr:rowOff>
    </xdr:to>
    <xdr:graphicFrame macro="">
      <xdr:nvGraphicFramePr>
        <xdr:cNvPr id="7" name="Chart 6">
          <a:extLst>
            <a:ext uri="{FF2B5EF4-FFF2-40B4-BE49-F238E27FC236}">
              <a16:creationId xmlns:a16="http://schemas.microsoft.com/office/drawing/2014/main" id="{EC916A15-AC38-4777-82DB-2ABEE4D79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14287</xdr:colOff>
      <xdr:row>66</xdr:row>
      <xdr:rowOff>14287</xdr:rowOff>
    </xdr:from>
    <xdr:to>
      <xdr:col>10</xdr:col>
      <xdr:colOff>147637</xdr:colOff>
      <xdr:row>80</xdr:row>
      <xdr:rowOff>90487</xdr:rowOff>
    </xdr:to>
    <xdr:graphicFrame macro="">
      <xdr:nvGraphicFramePr>
        <xdr:cNvPr id="2" name="Chart 1">
          <a:extLst>
            <a:ext uri="{FF2B5EF4-FFF2-40B4-BE49-F238E27FC236}">
              <a16:creationId xmlns:a16="http://schemas.microsoft.com/office/drawing/2014/main" id="{AEE9BA17-BF41-4884-AE90-102741FEE1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952</xdr:colOff>
      <xdr:row>31</xdr:row>
      <xdr:rowOff>59061</xdr:rowOff>
    </xdr:from>
    <xdr:to>
      <xdr:col>27</xdr:col>
      <xdr:colOff>301942</xdr:colOff>
      <xdr:row>42</xdr:row>
      <xdr:rowOff>144786</xdr:rowOff>
    </xdr:to>
    <xdr:graphicFrame macro="">
      <xdr:nvGraphicFramePr>
        <xdr:cNvPr id="6" name="Chart 5">
          <a:extLst>
            <a:ext uri="{FF2B5EF4-FFF2-40B4-BE49-F238E27FC236}">
              <a16:creationId xmlns:a16="http://schemas.microsoft.com/office/drawing/2014/main" id="{12708A24-1980-4D0D-A695-AED8035D3C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81</xdr:row>
      <xdr:rowOff>0</xdr:rowOff>
    </xdr:from>
    <xdr:to>
      <xdr:col>10</xdr:col>
      <xdr:colOff>129540</xdr:colOff>
      <xdr:row>95</xdr:row>
      <xdr:rowOff>76200</xdr:rowOff>
    </xdr:to>
    <xdr:graphicFrame macro="">
      <xdr:nvGraphicFramePr>
        <xdr:cNvPr id="8" name="Chart 7">
          <a:extLst>
            <a:ext uri="{FF2B5EF4-FFF2-40B4-BE49-F238E27FC236}">
              <a16:creationId xmlns:a16="http://schemas.microsoft.com/office/drawing/2014/main" id="{68240233-333B-48DB-BF68-5958356AA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66</xdr:row>
      <xdr:rowOff>0</xdr:rowOff>
    </xdr:from>
    <xdr:to>
      <xdr:col>18</xdr:col>
      <xdr:colOff>209550</xdr:colOff>
      <xdr:row>80</xdr:row>
      <xdr:rowOff>76200</xdr:rowOff>
    </xdr:to>
    <xdr:graphicFrame macro="">
      <xdr:nvGraphicFramePr>
        <xdr:cNvPr id="9" name="Chart 8">
          <a:extLst>
            <a:ext uri="{FF2B5EF4-FFF2-40B4-BE49-F238E27FC236}">
              <a16:creationId xmlns:a16="http://schemas.microsoft.com/office/drawing/2014/main" id="{82F54E83-F283-4C9A-8221-A889F7B08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0</xdr:colOff>
      <xdr:row>81</xdr:row>
      <xdr:rowOff>0</xdr:rowOff>
    </xdr:from>
    <xdr:to>
      <xdr:col>18</xdr:col>
      <xdr:colOff>205740</xdr:colOff>
      <xdr:row>95</xdr:row>
      <xdr:rowOff>76200</xdr:rowOff>
    </xdr:to>
    <xdr:graphicFrame macro="">
      <xdr:nvGraphicFramePr>
        <xdr:cNvPr id="10" name="Chart 9">
          <a:extLst>
            <a:ext uri="{FF2B5EF4-FFF2-40B4-BE49-F238E27FC236}">
              <a16:creationId xmlns:a16="http://schemas.microsoft.com/office/drawing/2014/main" id="{244DDA0D-5291-48A3-BD63-AC3ED168CD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96</xdr:row>
      <xdr:rowOff>100965</xdr:rowOff>
    </xdr:from>
    <xdr:to>
      <xdr:col>10</xdr:col>
      <xdr:colOff>81915</xdr:colOff>
      <xdr:row>111</xdr:row>
      <xdr:rowOff>0</xdr:rowOff>
    </xdr:to>
    <xdr:graphicFrame macro="">
      <xdr:nvGraphicFramePr>
        <xdr:cNvPr id="11" name="Chart 10">
          <a:extLst>
            <a:ext uri="{FF2B5EF4-FFF2-40B4-BE49-F238E27FC236}">
              <a16:creationId xmlns:a16="http://schemas.microsoft.com/office/drawing/2014/main" id="{32309ABC-FA84-4A43-ACF4-4A5070255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0</xdr:colOff>
      <xdr:row>96</xdr:row>
      <xdr:rowOff>100965</xdr:rowOff>
    </xdr:from>
    <xdr:to>
      <xdr:col>18</xdr:col>
      <xdr:colOff>205740</xdr:colOff>
      <xdr:row>110</xdr:row>
      <xdr:rowOff>173355</xdr:rowOff>
    </xdr:to>
    <xdr:graphicFrame macro="">
      <xdr:nvGraphicFramePr>
        <xdr:cNvPr id="12" name="Chart 11">
          <a:extLst>
            <a:ext uri="{FF2B5EF4-FFF2-40B4-BE49-F238E27FC236}">
              <a16:creationId xmlns:a16="http://schemas.microsoft.com/office/drawing/2014/main" id="{7359F26B-5887-406A-95C8-61637CB7D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0</xdr:colOff>
      <xdr:row>127</xdr:row>
      <xdr:rowOff>0</xdr:rowOff>
    </xdr:from>
    <xdr:to>
      <xdr:col>18</xdr:col>
      <xdr:colOff>209550</xdr:colOff>
      <xdr:row>141</xdr:row>
      <xdr:rowOff>76200</xdr:rowOff>
    </xdr:to>
    <xdr:graphicFrame macro="">
      <xdr:nvGraphicFramePr>
        <xdr:cNvPr id="13" name="Chart 12">
          <a:extLst>
            <a:ext uri="{FF2B5EF4-FFF2-40B4-BE49-F238E27FC236}">
              <a16:creationId xmlns:a16="http://schemas.microsoft.com/office/drawing/2014/main" id="{0EF5974F-AA39-426A-8AD6-12C3EE5022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129</xdr:row>
      <xdr:rowOff>0</xdr:rowOff>
    </xdr:from>
    <xdr:to>
      <xdr:col>9</xdr:col>
      <xdr:colOff>180975</xdr:colOff>
      <xdr:row>149</xdr:row>
      <xdr:rowOff>171450</xdr:rowOff>
    </xdr:to>
    <xdr:pic>
      <xdr:nvPicPr>
        <xdr:cNvPr id="2" name="Picture 1">
          <a:extLst>
            <a:ext uri="{FF2B5EF4-FFF2-40B4-BE49-F238E27FC236}">
              <a16:creationId xmlns:a16="http://schemas.microsoft.com/office/drawing/2014/main" id="{959A832E-F689-4CD7-3039-70DCB5D02C7B}"/>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0" y="26812875"/>
          <a:ext cx="5667375" cy="398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136</xdr:row>
      <xdr:rowOff>0</xdr:rowOff>
    </xdr:from>
    <xdr:to>
      <xdr:col>7</xdr:col>
      <xdr:colOff>38100</xdr:colOff>
      <xdr:row>155</xdr:row>
      <xdr:rowOff>47625</xdr:rowOff>
    </xdr:to>
    <xdr:pic>
      <xdr:nvPicPr>
        <xdr:cNvPr id="3" name="Picture 2">
          <a:extLst>
            <a:ext uri="{FF2B5EF4-FFF2-40B4-BE49-F238E27FC236}">
              <a16:creationId xmlns:a16="http://schemas.microsoft.com/office/drawing/2014/main" id="{0D4BD426-EFD5-DB4C-AD99-E6D8278AB7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28146375"/>
          <a:ext cx="4305300" cy="3667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sepa-my.sharepoint.com/personal/holder_amara_epa_gov/Documents/Profile/Documents/BlackCarbon/Experiments/Residential%20Wood%20Combustion/Data/Filter%20Weights/BlazeKing%20Filter%20Mass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sepa-my.sharepoint.com/personal/holder_amara_epa_gov/Documents/Profile/Documents/BlackCarbon/Experiments/Residential%20Wood%20Combustion/Data/2021%20Princess%20Testing/BlazeKing_FuelAnalys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Masses"/>
      <sheetName val="XRF Masses"/>
      <sheetName val="Teflon Filter Masses"/>
      <sheetName val="Quartz Filter Masses"/>
      <sheetName val="Quartz Back Filter Masses"/>
    </sheetNames>
    <sheetDataSet>
      <sheetData sheetId="0"/>
      <sheetData sheetId="1">
        <row r="28">
          <cell r="B28" t="str">
            <v>TF4721001</v>
          </cell>
          <cell r="J28">
            <v>0.55479999999999996</v>
          </cell>
          <cell r="K28">
            <v>0</v>
          </cell>
          <cell r="L28">
            <v>0</v>
          </cell>
          <cell r="M28">
            <v>0.1074</v>
          </cell>
          <cell r="N28">
            <v>5.5999999999999999E-3</v>
          </cell>
          <cell r="O28">
            <v>4.2900000000000001E-2</v>
          </cell>
          <cell r="P28">
            <v>8.14E-2</v>
          </cell>
          <cell r="Q28">
            <v>0.13789999999999999</v>
          </cell>
          <cell r="R28">
            <v>0.25419999999999998</v>
          </cell>
          <cell r="S28">
            <v>0</v>
          </cell>
          <cell r="T28">
            <v>0</v>
          </cell>
          <cell r="U28">
            <v>3.8399999999999997E-2</v>
          </cell>
          <cell r="V28">
            <v>1.5800000000000002E-2</v>
          </cell>
          <cell r="W28">
            <v>0.12429999999999999</v>
          </cell>
          <cell r="X28">
            <v>2.3E-3</v>
          </cell>
          <cell r="Y28">
            <v>1.1299999999999999E-2</v>
          </cell>
          <cell r="Z28">
            <v>0</v>
          </cell>
          <cell r="AA28">
            <v>2.3699999999999999E-2</v>
          </cell>
          <cell r="AB28">
            <v>7.9000000000000008E-3</v>
          </cell>
          <cell r="AC28">
            <v>0</v>
          </cell>
          <cell r="AD28">
            <v>5.5999999999999999E-3</v>
          </cell>
          <cell r="AE28">
            <v>0</v>
          </cell>
          <cell r="AF28">
            <v>2.3E-3</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row>
        <row r="29">
          <cell r="B29" t="str">
            <v>TF4721004</v>
          </cell>
          <cell r="J29">
            <v>0.18310000000000001</v>
          </cell>
          <cell r="K29">
            <v>0</v>
          </cell>
          <cell r="L29">
            <v>0</v>
          </cell>
          <cell r="M29">
            <v>2.5999999999999999E-2</v>
          </cell>
          <cell r="N29">
            <v>0</v>
          </cell>
          <cell r="O29">
            <v>0.67010000000000003</v>
          </cell>
          <cell r="P29">
            <v>0.64639999999999997</v>
          </cell>
          <cell r="Q29">
            <v>1.0249999999999999</v>
          </cell>
          <cell r="R29">
            <v>0.1797</v>
          </cell>
          <cell r="S29">
            <v>4.6300000000000001E-2</v>
          </cell>
          <cell r="T29">
            <v>2.3E-3</v>
          </cell>
          <cell r="U29">
            <v>0</v>
          </cell>
          <cell r="V29">
            <v>1.3599999999999999E-2</v>
          </cell>
          <cell r="W29">
            <v>2.0299999999999999E-2</v>
          </cell>
          <cell r="X29">
            <v>1.1000000000000001E-3</v>
          </cell>
          <cell r="Y29">
            <v>3.3999999999999998E-3</v>
          </cell>
          <cell r="Z29">
            <v>0</v>
          </cell>
          <cell r="AA29">
            <v>0.18079999999999999</v>
          </cell>
          <cell r="AB29">
            <v>0</v>
          </cell>
          <cell r="AC29">
            <v>0</v>
          </cell>
          <cell r="AD29">
            <v>0</v>
          </cell>
          <cell r="AE29">
            <v>0</v>
          </cell>
          <cell r="AF29">
            <v>0</v>
          </cell>
          <cell r="AG29">
            <v>2.3E-3</v>
          </cell>
          <cell r="AH29">
            <v>0</v>
          </cell>
          <cell r="AI29">
            <v>0</v>
          </cell>
          <cell r="AJ29">
            <v>1.1000000000000001E-3</v>
          </cell>
          <cell r="AK29">
            <v>0</v>
          </cell>
          <cell r="AL29">
            <v>0</v>
          </cell>
          <cell r="AM29">
            <v>0</v>
          </cell>
          <cell r="AN29">
            <v>6.5500000000000003E-2</v>
          </cell>
          <cell r="AO29">
            <v>0</v>
          </cell>
          <cell r="AP29">
            <v>3.6200000000000003E-2</v>
          </cell>
          <cell r="AQ29">
            <v>0</v>
          </cell>
          <cell r="AR29">
            <v>0</v>
          </cell>
          <cell r="AS29">
            <v>0</v>
          </cell>
          <cell r="AT29">
            <v>8.9999999999999993E-3</v>
          </cell>
          <cell r="AU29">
            <v>1.1000000000000001E-3</v>
          </cell>
        </row>
        <row r="30">
          <cell r="B30" t="str">
            <v>TF4721005</v>
          </cell>
          <cell r="J30">
            <v>0</v>
          </cell>
          <cell r="K30">
            <v>0</v>
          </cell>
          <cell r="L30">
            <v>0</v>
          </cell>
          <cell r="M30">
            <v>6.8900000000000003E-2</v>
          </cell>
          <cell r="N30">
            <v>1.0200000000000001E-2</v>
          </cell>
          <cell r="O30">
            <v>1.5289999999999999</v>
          </cell>
          <cell r="P30">
            <v>1.167</v>
          </cell>
          <cell r="Q30">
            <v>4.758</v>
          </cell>
          <cell r="R30">
            <v>0.71870000000000001</v>
          </cell>
          <cell r="S30">
            <v>4.4999999999999997E-3</v>
          </cell>
          <cell r="T30">
            <v>3.3999999999999998E-3</v>
          </cell>
          <cell r="U30">
            <v>7.9000000000000008E-3</v>
          </cell>
          <cell r="V30">
            <v>1.5800000000000002E-2</v>
          </cell>
          <cell r="W30">
            <v>5.6500000000000002E-2</v>
          </cell>
          <cell r="X30">
            <v>0</v>
          </cell>
          <cell r="Y30">
            <v>0</v>
          </cell>
          <cell r="Z30">
            <v>0</v>
          </cell>
          <cell r="AA30">
            <v>0.70960000000000001</v>
          </cell>
          <cell r="AB30">
            <v>0</v>
          </cell>
          <cell r="AC30">
            <v>0</v>
          </cell>
          <cell r="AD30">
            <v>0</v>
          </cell>
          <cell r="AE30">
            <v>0</v>
          </cell>
          <cell r="AF30">
            <v>7.9000000000000008E-3</v>
          </cell>
          <cell r="AG30">
            <v>1.8100000000000002E-2</v>
          </cell>
          <cell r="AH30">
            <v>0</v>
          </cell>
          <cell r="AI30">
            <v>0</v>
          </cell>
          <cell r="AJ30">
            <v>1.3599999999999999E-2</v>
          </cell>
          <cell r="AK30">
            <v>0</v>
          </cell>
          <cell r="AL30">
            <v>1.5800000000000002E-2</v>
          </cell>
          <cell r="AM30">
            <v>1.24E-2</v>
          </cell>
          <cell r="AN30">
            <v>0</v>
          </cell>
          <cell r="AO30">
            <v>0.11070000000000001</v>
          </cell>
          <cell r="AP30">
            <v>0</v>
          </cell>
          <cell r="AQ30">
            <v>2.2599999999999999E-2</v>
          </cell>
          <cell r="AR30">
            <v>0</v>
          </cell>
          <cell r="AS30">
            <v>0</v>
          </cell>
          <cell r="AT30">
            <v>0</v>
          </cell>
          <cell r="AU30">
            <v>1.1000000000000001E-3</v>
          </cell>
        </row>
        <row r="31">
          <cell r="B31" t="str">
            <v>TF4721007</v>
          </cell>
          <cell r="J31">
            <v>0</v>
          </cell>
          <cell r="K31">
            <v>0</v>
          </cell>
          <cell r="L31">
            <v>0</v>
          </cell>
          <cell r="M31">
            <v>0.1333</v>
          </cell>
          <cell r="N31">
            <v>1.1299999999999999E-2</v>
          </cell>
          <cell r="O31">
            <v>1.2929999999999999</v>
          </cell>
          <cell r="P31">
            <v>0.84519999999999995</v>
          </cell>
          <cell r="Q31">
            <v>1.1459999999999999</v>
          </cell>
          <cell r="R31">
            <v>0.24410000000000001</v>
          </cell>
          <cell r="S31">
            <v>1.5800000000000002E-2</v>
          </cell>
          <cell r="T31">
            <v>5.5999999999999999E-3</v>
          </cell>
          <cell r="U31">
            <v>0</v>
          </cell>
          <cell r="V31">
            <v>1.1299999999999999E-2</v>
          </cell>
          <cell r="W31">
            <v>2.1499999999999998E-2</v>
          </cell>
          <cell r="X31">
            <v>1.1000000000000001E-3</v>
          </cell>
          <cell r="Y31">
            <v>0</v>
          </cell>
          <cell r="Z31">
            <v>0</v>
          </cell>
          <cell r="AA31">
            <v>8.6999999999999994E-2</v>
          </cell>
          <cell r="AB31">
            <v>2.3E-3</v>
          </cell>
          <cell r="AC31">
            <v>3.3999999999999998E-3</v>
          </cell>
          <cell r="AD31">
            <v>2.3E-3</v>
          </cell>
          <cell r="AE31">
            <v>0</v>
          </cell>
          <cell r="AF31">
            <v>2.3E-3</v>
          </cell>
          <cell r="AG31">
            <v>3.3999999999999998E-3</v>
          </cell>
          <cell r="AH31">
            <v>0</v>
          </cell>
          <cell r="AI31">
            <v>0</v>
          </cell>
          <cell r="AJ31">
            <v>3.3999999999999998E-3</v>
          </cell>
          <cell r="AK31">
            <v>0</v>
          </cell>
          <cell r="AL31">
            <v>1.5800000000000002E-2</v>
          </cell>
          <cell r="AM31">
            <v>4.07E-2</v>
          </cell>
          <cell r="AN31">
            <v>0</v>
          </cell>
          <cell r="AO31">
            <v>2.4899999999999999E-2</v>
          </cell>
          <cell r="AP31">
            <v>0</v>
          </cell>
          <cell r="AQ31">
            <v>0</v>
          </cell>
          <cell r="AR31">
            <v>0</v>
          </cell>
          <cell r="AS31">
            <v>0</v>
          </cell>
          <cell r="AT31">
            <v>4.4999999999999997E-3</v>
          </cell>
          <cell r="AU31">
            <v>0</v>
          </cell>
        </row>
        <row r="32">
          <cell r="B32" t="str">
            <v>TF4721006</v>
          </cell>
          <cell r="J32">
            <v>0</v>
          </cell>
          <cell r="K32">
            <v>0</v>
          </cell>
          <cell r="L32">
            <v>0</v>
          </cell>
          <cell r="M32">
            <v>0</v>
          </cell>
          <cell r="N32">
            <v>3.1600000000000003E-2</v>
          </cell>
          <cell r="O32">
            <v>1.196</v>
          </cell>
          <cell r="P32">
            <v>1.268</v>
          </cell>
          <cell r="Q32">
            <v>4.1989999999999998</v>
          </cell>
          <cell r="R32">
            <v>0.55030000000000001</v>
          </cell>
          <cell r="S32">
            <v>0</v>
          </cell>
          <cell r="T32">
            <v>0</v>
          </cell>
          <cell r="U32">
            <v>1.47E-2</v>
          </cell>
          <cell r="V32">
            <v>2.5999999999999999E-2</v>
          </cell>
          <cell r="W32">
            <v>2.4899999999999999E-2</v>
          </cell>
          <cell r="X32">
            <v>0</v>
          </cell>
          <cell r="Y32">
            <v>1.1000000000000001E-3</v>
          </cell>
          <cell r="Z32">
            <v>0</v>
          </cell>
          <cell r="AA32">
            <v>0.53680000000000005</v>
          </cell>
          <cell r="AB32">
            <v>4.4999999999999997E-3</v>
          </cell>
          <cell r="AC32">
            <v>1.1000000000000001E-3</v>
          </cell>
          <cell r="AD32">
            <v>0</v>
          </cell>
          <cell r="AE32">
            <v>1.1000000000000001E-3</v>
          </cell>
          <cell r="AF32">
            <v>4.4999999999999997E-3</v>
          </cell>
          <cell r="AG32">
            <v>1.9199999999999998E-2</v>
          </cell>
          <cell r="AH32">
            <v>0</v>
          </cell>
          <cell r="AI32">
            <v>0</v>
          </cell>
          <cell r="AJ32">
            <v>0</v>
          </cell>
          <cell r="AK32">
            <v>0</v>
          </cell>
          <cell r="AL32">
            <v>4.4999999999999997E-3</v>
          </cell>
          <cell r="AM32">
            <v>0</v>
          </cell>
          <cell r="AN32">
            <v>4.1799999999999997E-2</v>
          </cell>
          <cell r="AO32">
            <v>0</v>
          </cell>
          <cell r="AP32">
            <v>0</v>
          </cell>
          <cell r="AQ32">
            <v>0</v>
          </cell>
          <cell r="AR32">
            <v>0</v>
          </cell>
          <cell r="AS32">
            <v>0</v>
          </cell>
          <cell r="AT32">
            <v>0</v>
          </cell>
          <cell r="AU32">
            <v>4.4999999999999997E-3</v>
          </cell>
        </row>
        <row r="33">
          <cell r="B33" t="str">
            <v>TF4721009</v>
          </cell>
          <cell r="J33">
            <v>8.8099999999999998E-2</v>
          </cell>
          <cell r="K33">
            <v>0.20230000000000001</v>
          </cell>
          <cell r="L33">
            <v>0</v>
          </cell>
          <cell r="M33">
            <v>3.1600000000000003E-2</v>
          </cell>
          <cell r="N33">
            <v>0</v>
          </cell>
          <cell r="O33">
            <v>0.51870000000000005</v>
          </cell>
          <cell r="P33">
            <v>0.52429999999999999</v>
          </cell>
          <cell r="Q33">
            <v>0.81130000000000002</v>
          </cell>
          <cell r="R33">
            <v>0.18529999999999999</v>
          </cell>
          <cell r="S33">
            <v>0</v>
          </cell>
          <cell r="T33">
            <v>4.4999999999999997E-3</v>
          </cell>
          <cell r="U33">
            <v>0</v>
          </cell>
          <cell r="V33">
            <v>3.3999999999999998E-3</v>
          </cell>
          <cell r="W33">
            <v>1.1299999999999999E-2</v>
          </cell>
          <cell r="X33">
            <v>1.1000000000000001E-3</v>
          </cell>
          <cell r="Y33">
            <v>0</v>
          </cell>
          <cell r="Z33">
            <v>1.1000000000000001E-3</v>
          </cell>
          <cell r="AA33">
            <v>9.3799999999999994E-2</v>
          </cell>
          <cell r="AB33">
            <v>0</v>
          </cell>
          <cell r="AC33">
            <v>0</v>
          </cell>
          <cell r="AD33">
            <v>0</v>
          </cell>
          <cell r="AE33">
            <v>0</v>
          </cell>
          <cell r="AF33">
            <v>2.3E-3</v>
          </cell>
          <cell r="AG33">
            <v>0</v>
          </cell>
          <cell r="AH33">
            <v>5.5999999999999999E-3</v>
          </cell>
          <cell r="AI33">
            <v>0</v>
          </cell>
          <cell r="AJ33">
            <v>1.5800000000000002E-2</v>
          </cell>
          <cell r="AK33">
            <v>0</v>
          </cell>
          <cell r="AL33">
            <v>0</v>
          </cell>
          <cell r="AM33">
            <v>0</v>
          </cell>
          <cell r="AN33">
            <v>2.8199999999999999E-2</v>
          </cell>
          <cell r="AO33">
            <v>0</v>
          </cell>
          <cell r="AP33">
            <v>4.7500000000000001E-2</v>
          </cell>
          <cell r="AQ33">
            <v>0</v>
          </cell>
          <cell r="AR33">
            <v>5.7599999999999998E-2</v>
          </cell>
          <cell r="AS33">
            <v>1.5800000000000002E-2</v>
          </cell>
          <cell r="AT33">
            <v>0</v>
          </cell>
          <cell r="AU33">
            <v>7.9000000000000008E-3</v>
          </cell>
        </row>
        <row r="34">
          <cell r="B34" t="str">
            <v>TF4721008</v>
          </cell>
          <cell r="J34">
            <v>0.51749999999999996</v>
          </cell>
          <cell r="K34">
            <v>8.0199999999999994E-2</v>
          </cell>
          <cell r="L34">
            <v>0</v>
          </cell>
          <cell r="M34">
            <v>0</v>
          </cell>
          <cell r="N34">
            <v>3.6200000000000003E-2</v>
          </cell>
          <cell r="O34">
            <v>1.827</v>
          </cell>
          <cell r="P34">
            <v>1.641</v>
          </cell>
          <cell r="Q34">
            <v>3.1230000000000002</v>
          </cell>
          <cell r="R34">
            <v>1.147</v>
          </cell>
          <cell r="S34">
            <v>6.7999999999999996E-3</v>
          </cell>
          <cell r="T34">
            <v>0</v>
          </cell>
          <cell r="U34">
            <v>1.5800000000000002E-2</v>
          </cell>
          <cell r="V34">
            <v>0</v>
          </cell>
          <cell r="W34">
            <v>1.9199999999999998E-2</v>
          </cell>
          <cell r="X34">
            <v>0</v>
          </cell>
          <cell r="Y34">
            <v>0</v>
          </cell>
          <cell r="Z34">
            <v>0</v>
          </cell>
          <cell r="AA34">
            <v>0.20569999999999999</v>
          </cell>
          <cell r="AB34">
            <v>1.1000000000000001E-3</v>
          </cell>
          <cell r="AC34">
            <v>1.1000000000000001E-3</v>
          </cell>
          <cell r="AD34">
            <v>1.1000000000000001E-3</v>
          </cell>
          <cell r="AE34">
            <v>3.3999999999999998E-3</v>
          </cell>
          <cell r="AF34">
            <v>6.7999999999999996E-3</v>
          </cell>
          <cell r="AG34">
            <v>1.3599999999999999E-2</v>
          </cell>
          <cell r="AH34">
            <v>0</v>
          </cell>
          <cell r="AI34">
            <v>2.3E-3</v>
          </cell>
          <cell r="AJ34">
            <v>0</v>
          </cell>
          <cell r="AK34">
            <v>0</v>
          </cell>
          <cell r="AL34">
            <v>2.0299999999999999E-2</v>
          </cell>
          <cell r="AM34">
            <v>0</v>
          </cell>
          <cell r="AN34">
            <v>7.0099999999999996E-2</v>
          </cell>
          <cell r="AO34">
            <v>1.47E-2</v>
          </cell>
          <cell r="AP34">
            <v>1.3599999999999999E-2</v>
          </cell>
          <cell r="AQ34">
            <v>1.1299999999999999E-2</v>
          </cell>
          <cell r="AR34">
            <v>0</v>
          </cell>
          <cell r="AS34">
            <v>0</v>
          </cell>
          <cell r="AT34">
            <v>1.3599999999999999E-2</v>
          </cell>
          <cell r="AU34">
            <v>0</v>
          </cell>
        </row>
        <row r="35">
          <cell r="B35" t="str">
            <v>TF4721010</v>
          </cell>
          <cell r="J35">
            <v>0</v>
          </cell>
          <cell r="K35">
            <v>0</v>
          </cell>
          <cell r="L35">
            <v>0</v>
          </cell>
          <cell r="M35">
            <v>7.0099999999999996E-2</v>
          </cell>
          <cell r="N35">
            <v>0</v>
          </cell>
          <cell r="O35">
            <v>0.96950000000000003</v>
          </cell>
          <cell r="P35">
            <v>1.3</v>
          </cell>
          <cell r="Q35">
            <v>0.88590000000000002</v>
          </cell>
          <cell r="R35">
            <v>0.1797</v>
          </cell>
          <cell r="S35">
            <v>2.7099999999999999E-2</v>
          </cell>
          <cell r="T35">
            <v>0</v>
          </cell>
          <cell r="U35">
            <v>0</v>
          </cell>
          <cell r="V35">
            <v>4.4999999999999997E-3</v>
          </cell>
          <cell r="W35">
            <v>2.0299999999999999E-2</v>
          </cell>
          <cell r="X35">
            <v>0</v>
          </cell>
          <cell r="Y35">
            <v>0</v>
          </cell>
          <cell r="Z35">
            <v>4.4999999999999997E-3</v>
          </cell>
          <cell r="AA35">
            <v>0.25650000000000001</v>
          </cell>
          <cell r="AB35">
            <v>2.3E-3</v>
          </cell>
          <cell r="AC35">
            <v>0</v>
          </cell>
          <cell r="AD35">
            <v>0</v>
          </cell>
          <cell r="AE35">
            <v>7.9000000000000008E-3</v>
          </cell>
          <cell r="AF35">
            <v>0</v>
          </cell>
          <cell r="AG35">
            <v>0</v>
          </cell>
          <cell r="AH35">
            <v>0</v>
          </cell>
          <cell r="AI35">
            <v>7.9000000000000008E-3</v>
          </cell>
          <cell r="AJ35">
            <v>0</v>
          </cell>
          <cell r="AK35">
            <v>0</v>
          </cell>
          <cell r="AL35">
            <v>4.4999999999999997E-3</v>
          </cell>
          <cell r="AM35">
            <v>0</v>
          </cell>
          <cell r="AN35">
            <v>2.0299999999999999E-2</v>
          </cell>
          <cell r="AO35">
            <v>0</v>
          </cell>
          <cell r="AP35">
            <v>0</v>
          </cell>
          <cell r="AQ35">
            <v>0</v>
          </cell>
          <cell r="AR35">
            <v>0</v>
          </cell>
          <cell r="AS35">
            <v>4.6300000000000001E-2</v>
          </cell>
          <cell r="AT35">
            <v>0</v>
          </cell>
          <cell r="AU35">
            <v>1.8100000000000002E-2</v>
          </cell>
        </row>
        <row r="36">
          <cell r="B36" t="str">
            <v>TF4721011</v>
          </cell>
          <cell r="J36">
            <v>0</v>
          </cell>
          <cell r="K36">
            <v>0</v>
          </cell>
          <cell r="L36">
            <v>0</v>
          </cell>
          <cell r="M36">
            <v>1.5800000000000002E-2</v>
          </cell>
          <cell r="N36">
            <v>1.9199999999999998E-2</v>
          </cell>
          <cell r="O36">
            <v>1.425</v>
          </cell>
          <cell r="P36">
            <v>2.4660000000000002</v>
          </cell>
          <cell r="Q36">
            <v>4.1669999999999998</v>
          </cell>
          <cell r="R36">
            <v>0.48480000000000001</v>
          </cell>
          <cell r="S36">
            <v>0</v>
          </cell>
          <cell r="T36">
            <v>0</v>
          </cell>
          <cell r="U36">
            <v>2.5999999999999999E-2</v>
          </cell>
          <cell r="V36">
            <v>1.7000000000000001E-2</v>
          </cell>
          <cell r="W36">
            <v>5.5999999999999999E-3</v>
          </cell>
          <cell r="X36">
            <v>0</v>
          </cell>
          <cell r="Y36">
            <v>0</v>
          </cell>
          <cell r="Z36">
            <v>5.5999999999999999E-3</v>
          </cell>
          <cell r="AA36">
            <v>0.32540000000000002</v>
          </cell>
          <cell r="AB36">
            <v>6.7999999999999996E-3</v>
          </cell>
          <cell r="AC36">
            <v>0</v>
          </cell>
          <cell r="AD36">
            <v>0</v>
          </cell>
          <cell r="AE36">
            <v>0</v>
          </cell>
          <cell r="AF36">
            <v>1.7000000000000001E-2</v>
          </cell>
          <cell r="AG36">
            <v>2.2599999999999999E-2</v>
          </cell>
          <cell r="AH36">
            <v>4.4999999999999997E-3</v>
          </cell>
          <cell r="AI36">
            <v>0</v>
          </cell>
          <cell r="AJ36">
            <v>0</v>
          </cell>
          <cell r="AK36">
            <v>0</v>
          </cell>
          <cell r="AL36">
            <v>0</v>
          </cell>
          <cell r="AM36">
            <v>0</v>
          </cell>
          <cell r="AN36">
            <v>2.8199999999999999E-2</v>
          </cell>
          <cell r="AO36">
            <v>8.2500000000000004E-2</v>
          </cell>
          <cell r="AP36">
            <v>0</v>
          </cell>
          <cell r="AQ36">
            <v>0</v>
          </cell>
          <cell r="AR36">
            <v>3.1600000000000003E-2</v>
          </cell>
          <cell r="AS36">
            <v>0</v>
          </cell>
          <cell r="AT36">
            <v>0</v>
          </cell>
          <cell r="AU36">
            <v>4.4999999999999997E-3</v>
          </cell>
        </row>
        <row r="37">
          <cell r="B37" t="str">
            <v>TF4721012</v>
          </cell>
          <cell r="J37">
            <v>0.8034</v>
          </cell>
          <cell r="K37">
            <v>0</v>
          </cell>
          <cell r="L37">
            <v>0</v>
          </cell>
          <cell r="M37">
            <v>0.13220000000000001</v>
          </cell>
          <cell r="N37">
            <v>0</v>
          </cell>
          <cell r="O37">
            <v>0.77180000000000004</v>
          </cell>
          <cell r="P37">
            <v>0.86899999999999999</v>
          </cell>
          <cell r="Q37">
            <v>0.84179999999999999</v>
          </cell>
          <cell r="R37">
            <v>0.28820000000000001</v>
          </cell>
          <cell r="S37">
            <v>0</v>
          </cell>
          <cell r="T37">
            <v>0</v>
          </cell>
          <cell r="U37">
            <v>0</v>
          </cell>
          <cell r="V37">
            <v>6.7999999999999996E-3</v>
          </cell>
          <cell r="W37">
            <v>3.73E-2</v>
          </cell>
          <cell r="X37">
            <v>0</v>
          </cell>
          <cell r="Y37">
            <v>0</v>
          </cell>
          <cell r="Z37">
            <v>0</v>
          </cell>
          <cell r="AA37">
            <v>0.18759999999999999</v>
          </cell>
          <cell r="AB37">
            <v>0</v>
          </cell>
          <cell r="AC37">
            <v>0</v>
          </cell>
          <cell r="AD37">
            <v>2.3E-3</v>
          </cell>
          <cell r="AE37">
            <v>1.1000000000000001E-3</v>
          </cell>
          <cell r="AF37">
            <v>3.3999999999999998E-3</v>
          </cell>
          <cell r="AG37">
            <v>1.1000000000000001E-3</v>
          </cell>
          <cell r="AH37">
            <v>1.1000000000000001E-3</v>
          </cell>
          <cell r="AI37">
            <v>1.24E-2</v>
          </cell>
          <cell r="AJ37">
            <v>0</v>
          </cell>
          <cell r="AK37">
            <v>0</v>
          </cell>
          <cell r="AL37">
            <v>0</v>
          </cell>
          <cell r="AM37">
            <v>0</v>
          </cell>
          <cell r="AN37">
            <v>2.4899999999999999E-2</v>
          </cell>
          <cell r="AO37">
            <v>4.8599999999999997E-2</v>
          </cell>
          <cell r="AP37">
            <v>1.3599999999999999E-2</v>
          </cell>
          <cell r="AQ37">
            <v>0</v>
          </cell>
          <cell r="AR37">
            <v>0</v>
          </cell>
          <cell r="AS37">
            <v>0</v>
          </cell>
          <cell r="AT37">
            <v>4.4999999999999997E-3</v>
          </cell>
          <cell r="AU37">
            <v>1.1299999999999999E-2</v>
          </cell>
        </row>
        <row r="38">
          <cell r="B38" t="str">
            <v>TF4721013</v>
          </cell>
          <cell r="J38">
            <v>0</v>
          </cell>
          <cell r="K38">
            <v>0</v>
          </cell>
          <cell r="L38">
            <v>5.5399999999999998E-2</v>
          </cell>
          <cell r="M38">
            <v>0.15820000000000001</v>
          </cell>
          <cell r="N38">
            <v>1.8100000000000002E-2</v>
          </cell>
          <cell r="O38">
            <v>1.0049999999999999</v>
          </cell>
          <cell r="P38">
            <v>1.9590000000000001</v>
          </cell>
          <cell r="Q38">
            <v>3.2669999999999999</v>
          </cell>
          <cell r="R38">
            <v>0.79659999999999997</v>
          </cell>
          <cell r="S38">
            <v>3.1600000000000003E-2</v>
          </cell>
          <cell r="T38">
            <v>0</v>
          </cell>
          <cell r="U38">
            <v>0</v>
          </cell>
          <cell r="V38">
            <v>3.0499999999999999E-2</v>
          </cell>
          <cell r="W38">
            <v>0.20449999999999999</v>
          </cell>
          <cell r="X38">
            <v>0</v>
          </cell>
          <cell r="Y38">
            <v>1.1000000000000001E-3</v>
          </cell>
          <cell r="Z38">
            <v>1.3599999999999999E-2</v>
          </cell>
          <cell r="AA38">
            <v>0.35709999999999997</v>
          </cell>
          <cell r="AB38">
            <v>7.9000000000000008E-3</v>
          </cell>
          <cell r="AC38">
            <v>4.4999999999999997E-3</v>
          </cell>
          <cell r="AD38">
            <v>0</v>
          </cell>
          <cell r="AE38">
            <v>6.7999999999999996E-3</v>
          </cell>
          <cell r="AF38">
            <v>1.0200000000000001E-2</v>
          </cell>
          <cell r="AG38">
            <v>1.7000000000000001E-2</v>
          </cell>
          <cell r="AH38">
            <v>1.5800000000000002E-2</v>
          </cell>
          <cell r="AI38">
            <v>0</v>
          </cell>
          <cell r="AJ38">
            <v>1.0200000000000001E-2</v>
          </cell>
          <cell r="AK38">
            <v>0</v>
          </cell>
          <cell r="AL38">
            <v>0</v>
          </cell>
          <cell r="AM38">
            <v>2.0299999999999999E-2</v>
          </cell>
          <cell r="AN38">
            <v>0</v>
          </cell>
          <cell r="AO38">
            <v>0</v>
          </cell>
          <cell r="AP38">
            <v>0.12659999999999999</v>
          </cell>
          <cell r="AQ38">
            <v>4.5199999999999997E-2</v>
          </cell>
          <cell r="AR38">
            <v>0</v>
          </cell>
          <cell r="AS38">
            <v>0</v>
          </cell>
          <cell r="AT38">
            <v>0</v>
          </cell>
          <cell r="AU38">
            <v>0</v>
          </cell>
        </row>
        <row r="39">
          <cell r="B39" t="str">
            <v>TF4721014</v>
          </cell>
          <cell r="J39">
            <v>0.39319999999999999</v>
          </cell>
          <cell r="K39">
            <v>5.5999999999999999E-3</v>
          </cell>
          <cell r="L39">
            <v>0</v>
          </cell>
          <cell r="M39">
            <v>4.4999999999999997E-3</v>
          </cell>
          <cell r="N39">
            <v>0</v>
          </cell>
          <cell r="O39">
            <v>0.57179999999999997</v>
          </cell>
          <cell r="P39">
            <v>0.82830000000000004</v>
          </cell>
          <cell r="Q39">
            <v>0.91639999999999999</v>
          </cell>
          <cell r="R39">
            <v>0.19439999999999999</v>
          </cell>
          <cell r="S39">
            <v>0</v>
          </cell>
          <cell r="T39">
            <v>0</v>
          </cell>
          <cell r="U39">
            <v>0</v>
          </cell>
          <cell r="V39">
            <v>0</v>
          </cell>
          <cell r="W39">
            <v>2.8199999999999999E-2</v>
          </cell>
          <cell r="X39">
            <v>4.4999999999999997E-3</v>
          </cell>
          <cell r="Y39">
            <v>0</v>
          </cell>
          <cell r="Z39">
            <v>0</v>
          </cell>
          <cell r="AA39">
            <v>0.1492</v>
          </cell>
          <cell r="AB39">
            <v>0</v>
          </cell>
          <cell r="AC39">
            <v>0</v>
          </cell>
          <cell r="AD39">
            <v>0</v>
          </cell>
          <cell r="AE39">
            <v>0</v>
          </cell>
          <cell r="AF39">
            <v>1.1299999999999999E-2</v>
          </cell>
          <cell r="AG39">
            <v>4.4999999999999997E-3</v>
          </cell>
          <cell r="AH39">
            <v>0</v>
          </cell>
          <cell r="AI39">
            <v>5.5999999999999999E-3</v>
          </cell>
          <cell r="AJ39">
            <v>0</v>
          </cell>
          <cell r="AK39">
            <v>1.0200000000000001E-2</v>
          </cell>
          <cell r="AL39">
            <v>8.9999999999999993E-3</v>
          </cell>
          <cell r="AM39">
            <v>1.0200000000000001E-2</v>
          </cell>
          <cell r="AN39">
            <v>0</v>
          </cell>
          <cell r="AO39">
            <v>0</v>
          </cell>
          <cell r="AP39">
            <v>0</v>
          </cell>
          <cell r="AQ39">
            <v>0</v>
          </cell>
          <cell r="AR39">
            <v>4.1799999999999997E-2</v>
          </cell>
          <cell r="AS39">
            <v>3.1600000000000003E-2</v>
          </cell>
          <cell r="AT39">
            <v>0</v>
          </cell>
          <cell r="AU39">
            <v>1.3599999999999999E-2</v>
          </cell>
        </row>
        <row r="40">
          <cell r="B40" t="str">
            <v>TF4721015</v>
          </cell>
          <cell r="J40">
            <v>0</v>
          </cell>
          <cell r="K40">
            <v>0</v>
          </cell>
          <cell r="L40">
            <v>0</v>
          </cell>
          <cell r="M40">
            <v>0.1028</v>
          </cell>
          <cell r="N40">
            <v>2.7099999999999999E-2</v>
          </cell>
          <cell r="O40">
            <v>1.137</v>
          </cell>
          <cell r="P40">
            <v>1.2150000000000001</v>
          </cell>
          <cell r="Q40">
            <v>3.5739999999999998</v>
          </cell>
          <cell r="R40">
            <v>0.92889999999999995</v>
          </cell>
          <cell r="S40">
            <v>0</v>
          </cell>
          <cell r="T40">
            <v>0</v>
          </cell>
          <cell r="U40">
            <v>0.14119999999999999</v>
          </cell>
          <cell r="V40">
            <v>3.39E-2</v>
          </cell>
          <cell r="W40">
            <v>1.1299999999999999E-2</v>
          </cell>
          <cell r="X40">
            <v>0</v>
          </cell>
          <cell r="Y40">
            <v>6.7999999999999996E-3</v>
          </cell>
          <cell r="Z40">
            <v>0</v>
          </cell>
          <cell r="AA40">
            <v>0.24970000000000001</v>
          </cell>
          <cell r="AB40">
            <v>0</v>
          </cell>
          <cell r="AC40">
            <v>0</v>
          </cell>
          <cell r="AD40">
            <v>0</v>
          </cell>
          <cell r="AE40">
            <v>0</v>
          </cell>
          <cell r="AF40">
            <v>4.4999999999999997E-3</v>
          </cell>
          <cell r="AG40">
            <v>1.3599999999999999E-2</v>
          </cell>
          <cell r="AH40">
            <v>4.4999999999999997E-3</v>
          </cell>
          <cell r="AI40">
            <v>0</v>
          </cell>
          <cell r="AJ40">
            <v>0</v>
          </cell>
          <cell r="AK40">
            <v>0</v>
          </cell>
          <cell r="AL40">
            <v>3.8399999999999997E-2</v>
          </cell>
          <cell r="AM40">
            <v>0</v>
          </cell>
          <cell r="AN40">
            <v>1.9199999999999998E-2</v>
          </cell>
          <cell r="AO40">
            <v>0</v>
          </cell>
          <cell r="AP40">
            <v>0</v>
          </cell>
          <cell r="AQ40">
            <v>0</v>
          </cell>
          <cell r="AR40">
            <v>0</v>
          </cell>
          <cell r="AS40">
            <v>0</v>
          </cell>
          <cell r="AT40">
            <v>0</v>
          </cell>
          <cell r="AU40">
            <v>0</v>
          </cell>
        </row>
        <row r="41">
          <cell r="B41" t="str">
            <v>TF4721017</v>
          </cell>
          <cell r="J41">
            <v>0.47460000000000002</v>
          </cell>
          <cell r="K41">
            <v>0</v>
          </cell>
          <cell r="L41">
            <v>0</v>
          </cell>
          <cell r="M41">
            <v>0.29720000000000002</v>
          </cell>
          <cell r="N41">
            <v>2.0299999999999999E-2</v>
          </cell>
          <cell r="O41">
            <v>0.48020000000000002</v>
          </cell>
          <cell r="P41">
            <v>0.67120000000000002</v>
          </cell>
          <cell r="Q41">
            <v>1.2250000000000001</v>
          </cell>
          <cell r="R41">
            <v>0.50619999999999998</v>
          </cell>
          <cell r="S41">
            <v>8.9999999999999993E-3</v>
          </cell>
          <cell r="T41">
            <v>0</v>
          </cell>
          <cell r="U41">
            <v>0</v>
          </cell>
          <cell r="V41">
            <v>3.3999999999999998E-3</v>
          </cell>
          <cell r="W41">
            <v>4.7500000000000001E-2</v>
          </cell>
          <cell r="X41">
            <v>2.3E-3</v>
          </cell>
          <cell r="Y41">
            <v>0</v>
          </cell>
          <cell r="Z41">
            <v>0</v>
          </cell>
          <cell r="AA41">
            <v>0.19439999999999999</v>
          </cell>
          <cell r="AB41">
            <v>0</v>
          </cell>
          <cell r="AC41">
            <v>0</v>
          </cell>
          <cell r="AD41">
            <v>0</v>
          </cell>
          <cell r="AE41">
            <v>0</v>
          </cell>
          <cell r="AF41">
            <v>0</v>
          </cell>
          <cell r="AG41">
            <v>0</v>
          </cell>
          <cell r="AH41">
            <v>0</v>
          </cell>
          <cell r="AI41">
            <v>0</v>
          </cell>
          <cell r="AJ41">
            <v>1.0200000000000001E-2</v>
          </cell>
          <cell r="AK41">
            <v>0</v>
          </cell>
          <cell r="AL41">
            <v>1.1299999999999999E-2</v>
          </cell>
          <cell r="AM41">
            <v>0</v>
          </cell>
          <cell r="AN41">
            <v>2.8199999999999999E-2</v>
          </cell>
          <cell r="AO41">
            <v>0</v>
          </cell>
          <cell r="AP41">
            <v>0.12659999999999999</v>
          </cell>
          <cell r="AQ41">
            <v>0</v>
          </cell>
          <cell r="AR41">
            <v>0</v>
          </cell>
          <cell r="AS41">
            <v>0</v>
          </cell>
          <cell r="AT41">
            <v>6.7999999999999996E-3</v>
          </cell>
          <cell r="AU41">
            <v>3.3999999999999998E-3</v>
          </cell>
        </row>
        <row r="42">
          <cell r="B42" t="str">
            <v>TF4721018</v>
          </cell>
          <cell r="J42">
            <v>0.41470000000000001</v>
          </cell>
          <cell r="K42">
            <v>0</v>
          </cell>
          <cell r="L42">
            <v>0</v>
          </cell>
          <cell r="M42">
            <v>9.3799999999999994E-2</v>
          </cell>
          <cell r="N42">
            <v>0</v>
          </cell>
          <cell r="O42">
            <v>1.609</v>
          </cell>
          <cell r="P42">
            <v>1.681</v>
          </cell>
          <cell r="Q42">
            <v>3.605</v>
          </cell>
          <cell r="R42">
            <v>0.31080000000000002</v>
          </cell>
          <cell r="S42">
            <v>0</v>
          </cell>
          <cell r="T42">
            <v>0</v>
          </cell>
          <cell r="U42">
            <v>0.13900000000000001</v>
          </cell>
          <cell r="V42">
            <v>1.0200000000000001E-2</v>
          </cell>
          <cell r="W42">
            <v>0.1288</v>
          </cell>
          <cell r="X42">
            <v>0</v>
          </cell>
          <cell r="Y42">
            <v>0</v>
          </cell>
          <cell r="Z42">
            <v>3.3999999999999998E-3</v>
          </cell>
          <cell r="AA42">
            <v>0.81130000000000002</v>
          </cell>
          <cell r="AB42">
            <v>3.3999999999999998E-3</v>
          </cell>
          <cell r="AC42">
            <v>0</v>
          </cell>
          <cell r="AD42">
            <v>0</v>
          </cell>
          <cell r="AE42">
            <v>2.3E-3</v>
          </cell>
          <cell r="AF42">
            <v>2.3E-3</v>
          </cell>
          <cell r="AG42">
            <v>1.47E-2</v>
          </cell>
          <cell r="AH42">
            <v>0</v>
          </cell>
          <cell r="AI42">
            <v>3.3999999999999998E-3</v>
          </cell>
          <cell r="AJ42">
            <v>0</v>
          </cell>
          <cell r="AK42">
            <v>0</v>
          </cell>
          <cell r="AL42">
            <v>0</v>
          </cell>
          <cell r="AM42">
            <v>0</v>
          </cell>
          <cell r="AN42">
            <v>2.5999999999999999E-2</v>
          </cell>
          <cell r="AO42">
            <v>0</v>
          </cell>
          <cell r="AP42">
            <v>4.7500000000000001E-2</v>
          </cell>
          <cell r="AQ42">
            <v>2.2599999999999999E-2</v>
          </cell>
          <cell r="AR42">
            <v>0</v>
          </cell>
          <cell r="AS42">
            <v>0</v>
          </cell>
          <cell r="AT42">
            <v>0</v>
          </cell>
          <cell r="AU42">
            <v>1.1299999999999999E-2</v>
          </cell>
        </row>
        <row r="43">
          <cell r="B43" t="str">
            <v>TF4721021</v>
          </cell>
          <cell r="J43">
            <v>0</v>
          </cell>
          <cell r="K43">
            <v>0</v>
          </cell>
          <cell r="L43">
            <v>0</v>
          </cell>
          <cell r="M43">
            <v>9.8299999999999998E-2</v>
          </cell>
          <cell r="N43">
            <v>0</v>
          </cell>
          <cell r="O43">
            <v>0.8034</v>
          </cell>
          <cell r="P43">
            <v>1.377</v>
          </cell>
          <cell r="Q43">
            <v>1.0409999999999999</v>
          </cell>
          <cell r="R43">
            <v>0.13789999999999999</v>
          </cell>
          <cell r="S43">
            <v>5.5999999999999999E-3</v>
          </cell>
          <cell r="T43">
            <v>0</v>
          </cell>
          <cell r="U43">
            <v>0</v>
          </cell>
          <cell r="V43">
            <v>1.5800000000000002E-2</v>
          </cell>
          <cell r="W43">
            <v>4.8599999999999997E-2</v>
          </cell>
          <cell r="X43">
            <v>0</v>
          </cell>
          <cell r="Y43">
            <v>0</v>
          </cell>
          <cell r="Z43">
            <v>3.3999999999999998E-3</v>
          </cell>
          <cell r="AA43">
            <v>0.26329999999999998</v>
          </cell>
          <cell r="AB43">
            <v>0</v>
          </cell>
          <cell r="AC43">
            <v>0</v>
          </cell>
          <cell r="AD43">
            <v>1.1000000000000001E-3</v>
          </cell>
          <cell r="AE43">
            <v>0</v>
          </cell>
          <cell r="AF43">
            <v>0</v>
          </cell>
          <cell r="AG43">
            <v>0</v>
          </cell>
          <cell r="AH43">
            <v>0</v>
          </cell>
          <cell r="AI43">
            <v>0</v>
          </cell>
          <cell r="AJ43">
            <v>0</v>
          </cell>
          <cell r="AK43">
            <v>0</v>
          </cell>
          <cell r="AL43">
            <v>1.8100000000000002E-2</v>
          </cell>
          <cell r="AM43">
            <v>0</v>
          </cell>
          <cell r="AN43">
            <v>0</v>
          </cell>
          <cell r="AO43">
            <v>0</v>
          </cell>
          <cell r="AP43">
            <v>0</v>
          </cell>
          <cell r="AQ43">
            <v>6.7799999999999999E-2</v>
          </cell>
          <cell r="AR43">
            <v>0</v>
          </cell>
          <cell r="AS43">
            <v>0</v>
          </cell>
          <cell r="AT43">
            <v>5.5999999999999999E-3</v>
          </cell>
          <cell r="AU43">
            <v>0</v>
          </cell>
        </row>
        <row r="44">
          <cell r="B44" t="str">
            <v>TF4721022</v>
          </cell>
          <cell r="J44">
            <v>0</v>
          </cell>
          <cell r="K44">
            <v>0</v>
          </cell>
          <cell r="L44">
            <v>0</v>
          </cell>
          <cell r="M44">
            <v>0.71760000000000002</v>
          </cell>
          <cell r="N44">
            <v>0</v>
          </cell>
          <cell r="O44">
            <v>1.3620000000000001</v>
          </cell>
          <cell r="P44">
            <v>0.72550000000000003</v>
          </cell>
          <cell r="Q44">
            <v>2.7970000000000002</v>
          </cell>
          <cell r="R44">
            <v>9.0399999999999994E-2</v>
          </cell>
          <cell r="S44">
            <v>0</v>
          </cell>
          <cell r="T44">
            <v>0</v>
          </cell>
          <cell r="U44">
            <v>0.11409999999999999</v>
          </cell>
          <cell r="V44">
            <v>3.3999999999999998E-3</v>
          </cell>
          <cell r="W44">
            <v>3.9600000000000003E-2</v>
          </cell>
          <cell r="X44">
            <v>0</v>
          </cell>
          <cell r="Y44">
            <v>0</v>
          </cell>
          <cell r="Z44">
            <v>2.3E-3</v>
          </cell>
          <cell r="AA44">
            <v>0.2215</v>
          </cell>
          <cell r="AB44">
            <v>1.0200000000000001E-2</v>
          </cell>
          <cell r="AC44">
            <v>0</v>
          </cell>
          <cell r="AD44">
            <v>3.3999999999999998E-3</v>
          </cell>
          <cell r="AE44">
            <v>6.7999999999999996E-3</v>
          </cell>
          <cell r="AF44">
            <v>0</v>
          </cell>
          <cell r="AG44">
            <v>2.3E-3</v>
          </cell>
          <cell r="AH44">
            <v>0</v>
          </cell>
          <cell r="AI44">
            <v>8.9999999999999993E-3</v>
          </cell>
          <cell r="AJ44">
            <v>1.1000000000000001E-3</v>
          </cell>
          <cell r="AK44">
            <v>5.5999999999999999E-3</v>
          </cell>
          <cell r="AL44">
            <v>0</v>
          </cell>
          <cell r="AM44">
            <v>2.5999999999999999E-2</v>
          </cell>
          <cell r="AN44">
            <v>1.24E-2</v>
          </cell>
          <cell r="AO44">
            <v>0</v>
          </cell>
          <cell r="AP44">
            <v>0</v>
          </cell>
          <cell r="AQ44">
            <v>0</v>
          </cell>
          <cell r="AR44">
            <v>0</v>
          </cell>
          <cell r="AS44">
            <v>5.5999999999999999E-3</v>
          </cell>
          <cell r="AT44">
            <v>2.3E-3</v>
          </cell>
          <cell r="AU44">
            <v>0</v>
          </cell>
        </row>
        <row r="45">
          <cell r="B45" t="str">
            <v>TF4721024</v>
          </cell>
          <cell r="J45">
            <v>0</v>
          </cell>
          <cell r="K45">
            <v>0</v>
          </cell>
          <cell r="L45">
            <v>0</v>
          </cell>
          <cell r="M45">
            <v>5.6500000000000002E-2</v>
          </cell>
          <cell r="N45">
            <v>0</v>
          </cell>
          <cell r="O45">
            <v>1.276</v>
          </cell>
          <cell r="P45">
            <v>2.0609999999999999</v>
          </cell>
          <cell r="Q45">
            <v>0.98760000000000003</v>
          </cell>
          <cell r="R45">
            <v>0.4904</v>
          </cell>
          <cell r="S45">
            <v>6.7999999999999996E-3</v>
          </cell>
          <cell r="T45">
            <v>0</v>
          </cell>
          <cell r="U45">
            <v>1.5800000000000002E-2</v>
          </cell>
          <cell r="V45">
            <v>6.7999999999999996E-3</v>
          </cell>
          <cell r="W45">
            <v>8.9999999999999993E-3</v>
          </cell>
          <cell r="X45">
            <v>0</v>
          </cell>
          <cell r="Y45">
            <v>0</v>
          </cell>
          <cell r="Z45">
            <v>0</v>
          </cell>
          <cell r="AA45">
            <v>0.3367</v>
          </cell>
          <cell r="AB45">
            <v>0</v>
          </cell>
          <cell r="AC45">
            <v>1.0200000000000001E-2</v>
          </cell>
          <cell r="AD45">
            <v>4.4999999999999997E-3</v>
          </cell>
          <cell r="AE45">
            <v>0</v>
          </cell>
          <cell r="AF45">
            <v>8.9999999999999993E-3</v>
          </cell>
          <cell r="AG45">
            <v>0</v>
          </cell>
          <cell r="AH45">
            <v>0</v>
          </cell>
          <cell r="AI45">
            <v>0</v>
          </cell>
          <cell r="AJ45">
            <v>0</v>
          </cell>
          <cell r="AK45">
            <v>0</v>
          </cell>
          <cell r="AL45">
            <v>1.3599999999999999E-2</v>
          </cell>
          <cell r="AM45">
            <v>2.2599999999999999E-2</v>
          </cell>
          <cell r="AN45">
            <v>1.8100000000000002E-2</v>
          </cell>
          <cell r="AO45">
            <v>7.1199999999999999E-2</v>
          </cell>
          <cell r="AP45">
            <v>0.104</v>
          </cell>
          <cell r="AQ45">
            <v>5.6500000000000002E-2</v>
          </cell>
          <cell r="AR45">
            <v>0</v>
          </cell>
          <cell r="AS45">
            <v>0</v>
          </cell>
          <cell r="AT45">
            <v>0</v>
          </cell>
          <cell r="AU45">
            <v>0</v>
          </cell>
        </row>
        <row r="46">
          <cell r="B46" t="str">
            <v>TF4721023</v>
          </cell>
          <cell r="J46">
            <v>0.18529999999999999</v>
          </cell>
          <cell r="K46">
            <v>0</v>
          </cell>
          <cell r="L46">
            <v>0</v>
          </cell>
          <cell r="M46">
            <v>0.313</v>
          </cell>
          <cell r="N46">
            <v>7.9000000000000008E-3</v>
          </cell>
          <cell r="O46">
            <v>1.258</v>
          </cell>
          <cell r="P46">
            <v>1.8420000000000001</v>
          </cell>
          <cell r="Q46">
            <v>3.8730000000000002</v>
          </cell>
          <cell r="R46">
            <v>0.11749999999999999</v>
          </cell>
          <cell r="S46">
            <v>0</v>
          </cell>
          <cell r="T46">
            <v>0</v>
          </cell>
          <cell r="U46">
            <v>9.2700000000000005E-2</v>
          </cell>
          <cell r="V46">
            <v>0</v>
          </cell>
          <cell r="W46">
            <v>4.7500000000000001E-2</v>
          </cell>
          <cell r="X46">
            <v>0</v>
          </cell>
          <cell r="Y46">
            <v>7.9000000000000008E-3</v>
          </cell>
          <cell r="Z46">
            <v>3.3999999999999998E-3</v>
          </cell>
          <cell r="AA46">
            <v>0.3921</v>
          </cell>
          <cell r="AB46">
            <v>0</v>
          </cell>
          <cell r="AC46">
            <v>2.3E-3</v>
          </cell>
          <cell r="AD46">
            <v>0</v>
          </cell>
          <cell r="AE46">
            <v>1.1000000000000001E-3</v>
          </cell>
          <cell r="AF46">
            <v>8.9999999999999993E-3</v>
          </cell>
          <cell r="AG46">
            <v>1.47E-2</v>
          </cell>
          <cell r="AH46">
            <v>0</v>
          </cell>
          <cell r="AI46">
            <v>0</v>
          </cell>
          <cell r="AJ46">
            <v>0</v>
          </cell>
          <cell r="AK46">
            <v>0</v>
          </cell>
          <cell r="AL46">
            <v>0</v>
          </cell>
          <cell r="AM46">
            <v>2.0299999999999999E-2</v>
          </cell>
          <cell r="AN46">
            <v>3.6200000000000003E-2</v>
          </cell>
          <cell r="AO46">
            <v>0</v>
          </cell>
          <cell r="AP46">
            <v>2.4899999999999999E-2</v>
          </cell>
          <cell r="AQ46">
            <v>0</v>
          </cell>
          <cell r="AR46">
            <v>0</v>
          </cell>
          <cell r="AS46">
            <v>0</v>
          </cell>
          <cell r="AT46">
            <v>0</v>
          </cell>
          <cell r="AU46">
            <v>0</v>
          </cell>
        </row>
        <row r="47">
          <cell r="B47" t="str">
            <v>TF4721025</v>
          </cell>
          <cell r="J47">
            <v>0</v>
          </cell>
          <cell r="K47">
            <v>8.0199999999999994E-2</v>
          </cell>
          <cell r="L47">
            <v>0</v>
          </cell>
          <cell r="M47">
            <v>4.4999999999999997E-3</v>
          </cell>
          <cell r="N47">
            <v>0</v>
          </cell>
          <cell r="O47">
            <v>0.47349999999999998</v>
          </cell>
          <cell r="P47">
            <v>0.90849999999999997</v>
          </cell>
          <cell r="Q47">
            <v>1.133</v>
          </cell>
          <cell r="R47">
            <v>0.13109999999999999</v>
          </cell>
          <cell r="S47">
            <v>0</v>
          </cell>
          <cell r="T47">
            <v>0</v>
          </cell>
          <cell r="U47">
            <v>0.3322</v>
          </cell>
          <cell r="V47">
            <v>3.0499999999999999E-2</v>
          </cell>
          <cell r="W47">
            <v>0.75939999999999996</v>
          </cell>
          <cell r="X47">
            <v>0</v>
          </cell>
          <cell r="Y47">
            <v>5.9900000000000002E-2</v>
          </cell>
          <cell r="Z47">
            <v>0</v>
          </cell>
          <cell r="AA47">
            <v>0.36720000000000003</v>
          </cell>
          <cell r="AB47">
            <v>3.3999999999999998E-3</v>
          </cell>
          <cell r="AC47">
            <v>0</v>
          </cell>
          <cell r="AD47">
            <v>0</v>
          </cell>
          <cell r="AE47">
            <v>6.7999999999999996E-3</v>
          </cell>
          <cell r="AF47">
            <v>6.7999999999999996E-3</v>
          </cell>
          <cell r="AG47">
            <v>4.4999999999999997E-3</v>
          </cell>
          <cell r="AH47">
            <v>0</v>
          </cell>
          <cell r="AI47">
            <v>0</v>
          </cell>
          <cell r="AJ47">
            <v>0</v>
          </cell>
          <cell r="AK47">
            <v>0</v>
          </cell>
          <cell r="AL47">
            <v>4.4999999999999997E-3</v>
          </cell>
          <cell r="AM47">
            <v>6.7999999999999996E-3</v>
          </cell>
          <cell r="AN47">
            <v>0</v>
          </cell>
          <cell r="AO47">
            <v>8.5900000000000004E-2</v>
          </cell>
          <cell r="AP47">
            <v>0</v>
          </cell>
          <cell r="AQ47">
            <v>0</v>
          </cell>
          <cell r="AR47">
            <v>0</v>
          </cell>
          <cell r="AS47">
            <v>3.3999999999999998E-3</v>
          </cell>
          <cell r="AT47">
            <v>4.4999999999999997E-3</v>
          </cell>
          <cell r="AU47">
            <v>2.3699999999999999E-2</v>
          </cell>
        </row>
        <row r="48">
          <cell r="B48" t="str">
            <v>TF4721026</v>
          </cell>
          <cell r="J48">
            <v>7.9100000000000004E-2</v>
          </cell>
          <cell r="K48">
            <v>0.15140000000000001</v>
          </cell>
          <cell r="L48">
            <v>0</v>
          </cell>
          <cell r="M48">
            <v>1.8100000000000002E-2</v>
          </cell>
          <cell r="N48">
            <v>3.0499999999999999E-2</v>
          </cell>
          <cell r="O48">
            <v>1.4379999999999999</v>
          </cell>
          <cell r="P48">
            <v>1.2430000000000001</v>
          </cell>
          <cell r="Q48">
            <v>3.5449999999999999</v>
          </cell>
          <cell r="R48">
            <v>9.0399999999999994E-2</v>
          </cell>
          <cell r="S48">
            <v>0</v>
          </cell>
          <cell r="T48">
            <v>3.3999999999999998E-3</v>
          </cell>
          <cell r="U48">
            <v>0.3876</v>
          </cell>
          <cell r="V48">
            <v>1.1000000000000001E-3</v>
          </cell>
          <cell r="W48">
            <v>0</v>
          </cell>
          <cell r="X48">
            <v>0</v>
          </cell>
          <cell r="Y48">
            <v>0</v>
          </cell>
          <cell r="Z48">
            <v>0</v>
          </cell>
          <cell r="AA48">
            <v>0.24859999999999999</v>
          </cell>
          <cell r="AB48">
            <v>0</v>
          </cell>
          <cell r="AC48">
            <v>0</v>
          </cell>
          <cell r="AD48">
            <v>0</v>
          </cell>
          <cell r="AE48">
            <v>0</v>
          </cell>
          <cell r="AF48">
            <v>1.1000000000000001E-3</v>
          </cell>
          <cell r="AG48">
            <v>1.3599999999999999E-2</v>
          </cell>
          <cell r="AH48">
            <v>0</v>
          </cell>
          <cell r="AI48">
            <v>0</v>
          </cell>
          <cell r="AJ48">
            <v>0</v>
          </cell>
          <cell r="AK48">
            <v>0</v>
          </cell>
          <cell r="AL48">
            <v>0</v>
          </cell>
          <cell r="AM48">
            <v>0</v>
          </cell>
          <cell r="AN48">
            <v>0</v>
          </cell>
          <cell r="AO48">
            <v>2.0299999999999999E-2</v>
          </cell>
          <cell r="AP48">
            <v>0</v>
          </cell>
          <cell r="AQ48">
            <v>9.0399999999999994E-2</v>
          </cell>
          <cell r="AR48">
            <v>0</v>
          </cell>
          <cell r="AS48">
            <v>0</v>
          </cell>
          <cell r="AT48">
            <v>0</v>
          </cell>
          <cell r="AU48">
            <v>1.1000000000000001E-3</v>
          </cell>
        </row>
        <row r="49">
          <cell r="B49" t="str">
            <v>TF4721027</v>
          </cell>
          <cell r="J49">
            <v>0</v>
          </cell>
          <cell r="K49">
            <v>0</v>
          </cell>
          <cell r="L49">
            <v>0</v>
          </cell>
          <cell r="M49">
            <v>3.1600000000000003E-2</v>
          </cell>
          <cell r="N49">
            <v>2.3E-3</v>
          </cell>
          <cell r="O49">
            <v>0.2271</v>
          </cell>
          <cell r="P49">
            <v>0.28139999999999998</v>
          </cell>
          <cell r="Q49">
            <v>0.75139999999999996</v>
          </cell>
          <cell r="R49">
            <v>4.41E-2</v>
          </cell>
          <cell r="S49">
            <v>0</v>
          </cell>
          <cell r="T49">
            <v>0</v>
          </cell>
          <cell r="U49">
            <v>2.3E-3</v>
          </cell>
          <cell r="V49">
            <v>0</v>
          </cell>
          <cell r="W49">
            <v>2.7099999999999999E-2</v>
          </cell>
          <cell r="X49">
            <v>0</v>
          </cell>
          <cell r="Y49">
            <v>0</v>
          </cell>
          <cell r="Z49">
            <v>0</v>
          </cell>
          <cell r="AA49">
            <v>8.6999999999999994E-2</v>
          </cell>
          <cell r="AB49">
            <v>0</v>
          </cell>
          <cell r="AC49">
            <v>0</v>
          </cell>
          <cell r="AD49">
            <v>0</v>
          </cell>
          <cell r="AE49">
            <v>0</v>
          </cell>
          <cell r="AF49">
            <v>0</v>
          </cell>
          <cell r="AG49">
            <v>0</v>
          </cell>
          <cell r="AH49">
            <v>0</v>
          </cell>
          <cell r="AI49">
            <v>4.4999999999999997E-3</v>
          </cell>
          <cell r="AJ49">
            <v>0</v>
          </cell>
          <cell r="AK49">
            <v>1.1000000000000001E-3</v>
          </cell>
          <cell r="AL49">
            <v>0</v>
          </cell>
          <cell r="AM49">
            <v>0</v>
          </cell>
          <cell r="AN49">
            <v>3.73E-2</v>
          </cell>
          <cell r="AO49">
            <v>5.8799999999999998E-2</v>
          </cell>
          <cell r="AP49">
            <v>0</v>
          </cell>
          <cell r="AQ49">
            <v>0</v>
          </cell>
          <cell r="AR49">
            <v>0</v>
          </cell>
          <cell r="AS49">
            <v>0</v>
          </cell>
          <cell r="AT49">
            <v>0</v>
          </cell>
          <cell r="AU49">
            <v>0</v>
          </cell>
        </row>
        <row r="50">
          <cell r="B50" t="str">
            <v>TF4721028</v>
          </cell>
          <cell r="J50">
            <v>0</v>
          </cell>
          <cell r="K50">
            <v>0</v>
          </cell>
          <cell r="L50">
            <v>0</v>
          </cell>
          <cell r="M50">
            <v>7.9000000000000008E-3</v>
          </cell>
          <cell r="N50">
            <v>0</v>
          </cell>
          <cell r="O50">
            <v>1.4970000000000001</v>
          </cell>
          <cell r="P50">
            <v>1.651</v>
          </cell>
          <cell r="Q50">
            <v>2.4689999999999999</v>
          </cell>
          <cell r="R50">
            <v>3.2800000000000003E-2</v>
          </cell>
          <cell r="S50">
            <v>0</v>
          </cell>
          <cell r="T50">
            <v>0</v>
          </cell>
          <cell r="U50">
            <v>6.3299999999999995E-2</v>
          </cell>
          <cell r="V50">
            <v>4.4999999999999997E-3</v>
          </cell>
          <cell r="W50">
            <v>1.0200000000000001E-2</v>
          </cell>
          <cell r="X50">
            <v>0</v>
          </cell>
          <cell r="Y50">
            <v>3.3999999999999998E-3</v>
          </cell>
          <cell r="Z50">
            <v>0</v>
          </cell>
          <cell r="AA50">
            <v>0.52659999999999996</v>
          </cell>
          <cell r="AB50">
            <v>2.3E-3</v>
          </cell>
          <cell r="AC50">
            <v>0</v>
          </cell>
          <cell r="AD50">
            <v>0</v>
          </cell>
          <cell r="AE50">
            <v>0</v>
          </cell>
          <cell r="AF50">
            <v>5.5999999999999999E-3</v>
          </cell>
          <cell r="AG50">
            <v>8.9999999999999993E-3</v>
          </cell>
          <cell r="AH50">
            <v>0</v>
          </cell>
          <cell r="AI50">
            <v>0</v>
          </cell>
          <cell r="AJ50">
            <v>0</v>
          </cell>
          <cell r="AK50">
            <v>0</v>
          </cell>
          <cell r="AL50">
            <v>0</v>
          </cell>
          <cell r="AM50">
            <v>0</v>
          </cell>
          <cell r="AN50">
            <v>0</v>
          </cell>
          <cell r="AO50">
            <v>0</v>
          </cell>
          <cell r="AP50">
            <v>0</v>
          </cell>
          <cell r="AQ50">
            <v>0</v>
          </cell>
          <cell r="AR50">
            <v>1.24E-2</v>
          </cell>
          <cell r="AS50">
            <v>1.0200000000000001E-2</v>
          </cell>
          <cell r="AT50">
            <v>0</v>
          </cell>
          <cell r="AU50">
            <v>6.7999999999999996E-3</v>
          </cell>
        </row>
        <row r="51">
          <cell r="B51" t="str">
            <v>TF4721029</v>
          </cell>
          <cell r="J51">
            <v>0</v>
          </cell>
          <cell r="K51">
            <v>0</v>
          </cell>
          <cell r="L51">
            <v>0</v>
          </cell>
          <cell r="M51">
            <v>5.5999999999999999E-3</v>
          </cell>
          <cell r="N51">
            <v>0</v>
          </cell>
          <cell r="O51">
            <v>5.5999999999999999E-3</v>
          </cell>
          <cell r="P51">
            <v>3.2800000000000003E-2</v>
          </cell>
          <cell r="Q51">
            <v>1.1299999999999999E-2</v>
          </cell>
          <cell r="R51">
            <v>4.07E-2</v>
          </cell>
          <cell r="S51">
            <v>2.3E-3</v>
          </cell>
          <cell r="T51">
            <v>0</v>
          </cell>
          <cell r="U51">
            <v>0</v>
          </cell>
          <cell r="V51">
            <v>0</v>
          </cell>
          <cell r="W51">
            <v>6.7999999999999996E-3</v>
          </cell>
          <cell r="X51">
            <v>0</v>
          </cell>
          <cell r="Y51">
            <v>0</v>
          </cell>
          <cell r="Z51">
            <v>0</v>
          </cell>
          <cell r="AA51">
            <v>1.0200000000000001E-2</v>
          </cell>
          <cell r="AB51">
            <v>4.4999999999999997E-3</v>
          </cell>
          <cell r="AC51">
            <v>0</v>
          </cell>
          <cell r="AD51">
            <v>0</v>
          </cell>
          <cell r="AE51">
            <v>0</v>
          </cell>
          <cell r="AF51">
            <v>0</v>
          </cell>
          <cell r="AG51">
            <v>0</v>
          </cell>
          <cell r="AH51">
            <v>0</v>
          </cell>
          <cell r="AI51">
            <v>6.7999999999999996E-3</v>
          </cell>
          <cell r="AJ51">
            <v>0</v>
          </cell>
          <cell r="AK51">
            <v>0</v>
          </cell>
          <cell r="AL51">
            <v>0</v>
          </cell>
          <cell r="AM51">
            <v>0</v>
          </cell>
          <cell r="AN51">
            <v>7.9000000000000008E-3</v>
          </cell>
          <cell r="AO51">
            <v>0</v>
          </cell>
          <cell r="AP51">
            <v>0</v>
          </cell>
          <cell r="AQ51">
            <v>0</v>
          </cell>
          <cell r="AR51">
            <v>0</v>
          </cell>
          <cell r="AS51">
            <v>4.4999999999999997E-3</v>
          </cell>
          <cell r="AT51">
            <v>0</v>
          </cell>
          <cell r="AU51">
            <v>6.7999999999999996E-3</v>
          </cell>
        </row>
      </sheetData>
      <sheetData sheetId="2">
        <row r="4">
          <cell r="R4">
            <v>5.8000000000220098E-3</v>
          </cell>
        </row>
        <row r="5">
          <cell r="R5">
            <v>2.0800000000008367E-2</v>
          </cell>
        </row>
        <row r="8">
          <cell r="R8">
            <v>0.74979999999999336</v>
          </cell>
        </row>
        <row r="9">
          <cell r="R9">
            <v>0.96279999999998722</v>
          </cell>
        </row>
        <row r="10">
          <cell r="R10">
            <v>0.65049999999999386</v>
          </cell>
        </row>
        <row r="11">
          <cell r="R11">
            <v>0.75780000000000314</v>
          </cell>
        </row>
        <row r="12">
          <cell r="R12">
            <v>0.44599999999999795</v>
          </cell>
        </row>
        <row r="13">
          <cell r="R13">
            <v>1.4251999999999896</v>
          </cell>
        </row>
        <row r="14">
          <cell r="R14">
            <v>1.0712999999999795</v>
          </cell>
        </row>
        <row r="15">
          <cell r="R15">
            <v>0.74090000000001055</v>
          </cell>
        </row>
        <row r="16">
          <cell r="R16">
            <v>0.455600000000004</v>
          </cell>
        </row>
        <row r="17">
          <cell r="R17">
            <v>3.1293000000000006</v>
          </cell>
        </row>
        <row r="18">
          <cell r="R18">
            <v>0.60779999999999745</v>
          </cell>
        </row>
        <row r="19">
          <cell r="R19">
            <v>1.7391000000000076</v>
          </cell>
        </row>
        <row r="20">
          <cell r="R20">
            <v>0.19440000000000168</v>
          </cell>
        </row>
        <row r="21">
          <cell r="R21">
            <v>0.5595000000000141</v>
          </cell>
        </row>
        <row r="24">
          <cell r="R24">
            <v>0.74770000000000891</v>
          </cell>
        </row>
        <row r="25">
          <cell r="R25">
            <v>0.165300000000002</v>
          </cell>
        </row>
        <row r="26">
          <cell r="R26">
            <v>1.0243000000000109</v>
          </cell>
        </row>
        <row r="27">
          <cell r="R27">
            <v>0.23859999999999104</v>
          </cell>
        </row>
        <row r="28">
          <cell r="R28">
            <v>0.51890000000000214</v>
          </cell>
        </row>
        <row r="29">
          <cell r="R29">
            <v>0.2283999999999935</v>
          </cell>
        </row>
        <row r="30">
          <cell r="R30">
            <v>0.14509999999998513</v>
          </cell>
        </row>
        <row r="31">
          <cell r="R31">
            <v>0.52630000000002042</v>
          </cell>
        </row>
        <row r="32">
          <cell r="R32">
            <v>7.8000000000031378E-3</v>
          </cell>
        </row>
      </sheetData>
      <sheetData sheetId="3">
        <row r="3">
          <cell r="C3">
            <v>0.28999999999999998</v>
          </cell>
          <cell r="D3">
            <v>0</v>
          </cell>
        </row>
        <row r="4">
          <cell r="C4">
            <v>1.62</v>
          </cell>
          <cell r="D4">
            <v>0</v>
          </cell>
        </row>
        <row r="7">
          <cell r="C7">
            <v>55.7</v>
          </cell>
          <cell r="D7">
            <v>2.61</v>
          </cell>
        </row>
        <row r="8">
          <cell r="C8">
            <v>62.58</v>
          </cell>
          <cell r="D8">
            <v>2</v>
          </cell>
        </row>
        <row r="9">
          <cell r="C9">
            <v>40.06</v>
          </cell>
          <cell r="D9">
            <v>3.03</v>
          </cell>
        </row>
        <row r="10">
          <cell r="C10">
            <v>47.32</v>
          </cell>
          <cell r="D10">
            <v>2.21</v>
          </cell>
        </row>
        <row r="11">
          <cell r="C11">
            <v>31.48</v>
          </cell>
          <cell r="D11">
            <v>1.91</v>
          </cell>
        </row>
        <row r="13">
          <cell r="C13">
            <v>91.64</v>
          </cell>
          <cell r="D13">
            <v>1.82</v>
          </cell>
        </row>
        <row r="14">
          <cell r="C14">
            <v>70.13</v>
          </cell>
          <cell r="D14">
            <v>3.11</v>
          </cell>
        </row>
        <row r="15">
          <cell r="C15">
            <v>46.86</v>
          </cell>
          <cell r="D15">
            <v>1.96</v>
          </cell>
        </row>
        <row r="16">
          <cell r="C16">
            <v>28.21</v>
          </cell>
          <cell r="D16">
            <v>2.14</v>
          </cell>
        </row>
        <row r="17">
          <cell r="C17">
            <v>181.65</v>
          </cell>
          <cell r="D17">
            <v>1.62</v>
          </cell>
        </row>
        <row r="18">
          <cell r="C18">
            <v>38.090000000000003</v>
          </cell>
          <cell r="D18">
            <v>1.69</v>
          </cell>
        </row>
        <row r="19">
          <cell r="C19">
            <v>104.45</v>
          </cell>
          <cell r="D19">
            <v>1.27</v>
          </cell>
        </row>
        <row r="20">
          <cell r="C20">
            <v>31.62</v>
          </cell>
          <cell r="D20">
            <v>2.0299999999999998</v>
          </cell>
        </row>
        <row r="21">
          <cell r="C21">
            <v>20.02</v>
          </cell>
          <cell r="D21">
            <v>2.79</v>
          </cell>
        </row>
        <row r="22">
          <cell r="C22">
            <v>1.54</v>
          </cell>
          <cell r="D22">
            <v>0</v>
          </cell>
        </row>
        <row r="26">
          <cell r="C26">
            <v>47.26</v>
          </cell>
          <cell r="D26">
            <v>4.01</v>
          </cell>
        </row>
        <row r="27">
          <cell r="C27">
            <v>13.11</v>
          </cell>
          <cell r="D27">
            <v>1.71</v>
          </cell>
        </row>
        <row r="28">
          <cell r="C28">
            <v>69.77</v>
          </cell>
          <cell r="D28">
            <v>3.6</v>
          </cell>
        </row>
        <row r="29">
          <cell r="C29">
            <v>17.510000000000002</v>
          </cell>
          <cell r="D29">
            <v>1.83</v>
          </cell>
        </row>
        <row r="30">
          <cell r="C30">
            <v>31.6</v>
          </cell>
          <cell r="D30">
            <v>2.91</v>
          </cell>
        </row>
        <row r="31">
          <cell r="C31">
            <v>16.13</v>
          </cell>
          <cell r="D31">
            <v>1.03</v>
          </cell>
        </row>
        <row r="32">
          <cell r="C32">
            <v>8.2899999999999991</v>
          </cell>
          <cell r="D32">
            <v>2.16</v>
          </cell>
        </row>
        <row r="33">
          <cell r="C33">
            <v>30.92</v>
          </cell>
          <cell r="D33">
            <v>4.3600000000000003</v>
          </cell>
        </row>
      </sheetData>
      <sheetData sheetId="4">
        <row r="3">
          <cell r="C3">
            <v>1.41</v>
          </cell>
          <cell r="D3">
            <v>0</v>
          </cell>
        </row>
        <row r="6">
          <cell r="C6">
            <v>7.12</v>
          </cell>
          <cell r="D6">
            <v>0</v>
          </cell>
        </row>
        <row r="7">
          <cell r="C7">
            <v>10.77</v>
          </cell>
          <cell r="D7">
            <v>0.1</v>
          </cell>
        </row>
        <row r="8">
          <cell r="C8">
            <v>5.77</v>
          </cell>
          <cell r="D8">
            <v>0.06</v>
          </cell>
        </row>
        <row r="9">
          <cell r="C9">
            <v>8.4499999999999993</v>
          </cell>
          <cell r="D9">
            <v>0.11</v>
          </cell>
        </row>
        <row r="10">
          <cell r="C10">
            <v>4.8099999999999996</v>
          </cell>
          <cell r="D10">
            <v>0.03</v>
          </cell>
        </row>
        <row r="11">
          <cell r="C11">
            <v>11.04</v>
          </cell>
          <cell r="D11">
            <v>0.15</v>
          </cell>
        </row>
        <row r="12">
          <cell r="C12">
            <v>6.25</v>
          </cell>
          <cell r="D12">
            <v>0.09</v>
          </cell>
        </row>
        <row r="13">
          <cell r="C13">
            <v>8.58</v>
          </cell>
          <cell r="D13">
            <v>0</v>
          </cell>
        </row>
        <row r="14">
          <cell r="C14">
            <v>4.96</v>
          </cell>
          <cell r="D14">
            <v>0.05</v>
          </cell>
        </row>
        <row r="15">
          <cell r="C15">
            <v>13.77</v>
          </cell>
          <cell r="D15">
            <v>0.12</v>
          </cell>
        </row>
        <row r="16">
          <cell r="C16">
            <v>5.0199999999999996</v>
          </cell>
          <cell r="D16">
            <v>0</v>
          </cell>
        </row>
        <row r="17">
          <cell r="C17">
            <v>10.64</v>
          </cell>
          <cell r="D17">
            <v>0.14000000000000001</v>
          </cell>
        </row>
        <row r="18">
          <cell r="C18">
            <v>4.78</v>
          </cell>
          <cell r="D18">
            <v>0.09</v>
          </cell>
        </row>
        <row r="19">
          <cell r="C19">
            <v>6.61</v>
          </cell>
          <cell r="D19">
            <v>0.13</v>
          </cell>
        </row>
        <row r="23">
          <cell r="C23">
            <v>4.8600000000000003</v>
          </cell>
          <cell r="D23">
            <v>0.08</v>
          </cell>
        </row>
        <row r="24">
          <cell r="C24">
            <v>6.37</v>
          </cell>
          <cell r="D24">
            <v>0.13</v>
          </cell>
        </row>
        <row r="25">
          <cell r="C25">
            <v>5.0599999999999996</v>
          </cell>
          <cell r="D25">
            <v>0.09</v>
          </cell>
        </row>
        <row r="26">
          <cell r="C26">
            <v>6.3</v>
          </cell>
          <cell r="D26">
            <v>0.15</v>
          </cell>
        </row>
        <row r="27">
          <cell r="C27">
            <v>5.44</v>
          </cell>
          <cell r="D27">
            <v>0.08</v>
          </cell>
        </row>
        <row r="28">
          <cell r="C28">
            <v>5.77</v>
          </cell>
          <cell r="D28">
            <v>0.1</v>
          </cell>
        </row>
        <row r="29">
          <cell r="C29">
            <v>2.1</v>
          </cell>
          <cell r="D29">
            <v>7.0000000000000007E-2</v>
          </cell>
        </row>
        <row r="30">
          <cell r="C30">
            <v>6.69</v>
          </cell>
          <cell r="D30">
            <v>0.12</v>
          </cell>
        </row>
        <row r="32">
          <cell r="C32">
            <v>1.1499999999999999</v>
          </cell>
          <cell r="D32">
            <v>0.01</v>
          </cell>
        </row>
        <row r="33">
          <cell r="C33">
            <v>0.24</v>
          </cell>
          <cell r="D33">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BlazeKing_FuelAnalysis"/>
    </sheetNames>
    <sheetDataSet>
      <sheetData sheetId="0">
        <row r="4">
          <cell r="T4">
            <v>47.56</v>
          </cell>
          <cell r="U4">
            <v>52.01</v>
          </cell>
        </row>
        <row r="5">
          <cell r="T5">
            <v>46.76</v>
          </cell>
          <cell r="U5">
            <v>51.91</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Holder, Amara" id="{A4D18608-17AD-4974-852A-824D125A1C70}" userId="S::holder.amara@epa.gov::2ba0300a-a0ca-488e-8cdd-6df5d78f5a44" providerId="AD"/>
</personList>
</file>

<file path=xl/theme/theme1.xml><?xml version="1.0" encoding="utf-8"?>
<a:theme xmlns:a="http://schemas.openxmlformats.org/drawingml/2006/main" name="Office Theme">
  <a:themeElements>
    <a:clrScheme name="Slipstream">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Y2" dT="2022-08-05T08:09:29.34" personId="{A4D18608-17AD-4974-852A-824D125A1C70}" id="{91947137-81E8-453D-BDF3-2F8ABA7ED76F}">
    <text>Empty cells since this was a background sample.</text>
  </threadedComment>
  <threadedComment ref="CY25" dT="2022-08-05T08:09:41.90" personId="{A4D18608-17AD-4974-852A-824D125A1C70}" id="{C990694D-B3B8-48BE-B1CC-9CEB719E2BD4}">
    <text>Empty cells since this was a background sample.</text>
  </threadedComment>
</ThreadedComments>
</file>

<file path=xl/threadedComments/threadedComment2.xml><?xml version="1.0" encoding="utf-8"?>
<ThreadedComments xmlns="http://schemas.microsoft.com/office/spreadsheetml/2018/threadedcomments" xmlns:x="http://schemas.openxmlformats.org/spreadsheetml/2006/main">
  <threadedComment ref="N2" dT="2022-08-03T09:56:42.24" personId="{A4D18608-17AD-4974-852A-824D125A1C70}" id="{0D84C548-DD96-452D-9A34-2192EB61FB24}">
    <text>Methane analyzer not working</text>
  </threadedComment>
  <threadedComment ref="Y2" dT="2022-08-03T09:33:44.94" personId="{A4D18608-17AD-4974-852A-824D125A1C70}" id="{A80A1EC2-61A6-47ED-9643-4CCFD2978610}">
    <text>Not sampling</text>
  </threadedComment>
  <threadedComment ref="Z2" dT="2022-08-03T09:33:44.94" personId="{A4D18608-17AD-4974-852A-824D125A1C70}" id="{A54869A2-1A48-4EFE-BB12-C23E24ACFCA1}">
    <text>Not sampling</text>
  </threadedComment>
  <threadedComment ref="AA2" dT="2022-08-03T09:33:44.94" personId="{A4D18608-17AD-4974-852A-824D125A1C70}" id="{CB434945-0B78-4DBD-9996-DB430C9E3169}">
    <text>Not sampling</text>
  </threadedComment>
  <threadedComment ref="AB2" dT="2022-08-03T09:33:44.94" personId="{A4D18608-17AD-4974-852A-824D125A1C70}" id="{6D9EB87D-A1BB-4F44-A286-26589335A7DE}">
    <text>Not sampling</text>
  </threadedComment>
  <threadedComment ref="AC2" dT="2022-08-03T09:33:44.94" personId="{A4D18608-17AD-4974-852A-824D125A1C70}" id="{718E43D5-466D-4FC2-938A-9CD7C96B68CD}">
    <text>Not sampling</text>
  </threadedComment>
  <threadedComment ref="AD2" dT="2022-08-03T09:33:44.94" personId="{A4D18608-17AD-4974-852A-824D125A1C70}" id="{3CDBA8D3-3294-4786-9B27-5FB3FDDC7EA5}">
    <text>Not sampling</text>
  </threadedComment>
  <threadedComment ref="AE2" dT="2022-08-03T09:33:44.94" personId="{A4D18608-17AD-4974-852A-824D125A1C70}" id="{13DB1E12-BA2A-4D9E-94C1-4474B0A0171A}">
    <text>Not sampling</text>
  </threadedComment>
  <threadedComment ref="AF2" dT="2022-08-03T09:33:44.94" personId="{A4D18608-17AD-4974-852A-824D125A1C70}" id="{55C2342D-9BFE-441E-A164-9C01EBB20D3E}">
    <text>Not sampling</text>
  </threadedComment>
  <threadedComment ref="AG2" dT="2022-08-03T09:33:44.94" personId="{A4D18608-17AD-4974-852A-824D125A1C70}" id="{F1D13175-AE43-4899-AD84-34E4962C4EFB}">
    <text>Not sampling</text>
  </threadedComment>
  <threadedComment ref="AH2" dT="2022-08-03T09:33:44.94" personId="{A4D18608-17AD-4974-852A-824D125A1C70}" id="{F65097DA-9791-47CA-8E0A-C5A1BBAA5F55}">
    <text>Not sampling</text>
  </threadedComment>
  <threadedComment ref="AI2" dT="2022-08-03T09:33:44.94" personId="{A4D18608-17AD-4974-852A-824D125A1C70}" id="{787EB53E-DBF6-4CA7-BF29-3719FAF12B36}">
    <text>Not sampling</text>
  </threadedComment>
  <threadedComment ref="M5" dT="2022-08-03T12:41:00.51" personId="{A4D18608-17AD-4974-852A-824D125A1C70}" id="{591B2F33-5C92-4915-BB53-8D3683D2E879}">
    <text>Failed span</text>
  </threadedComment>
  <threadedComment ref="G6" dT="2022-08-03T09:55:32.83" personId="{A4D18608-17AD-4974-852A-824D125A1C70}" id="{D441F96C-96B7-495A-8F65-C1BD2F81CAE3}">
    <text>Failed CO2 post zero</text>
  </threadedComment>
  <threadedComment ref="N7" dT="2022-08-03T09:54:58.87" personId="{A4D18608-17AD-4974-852A-824D125A1C70}" id="{B76D5B28-A1EC-402B-A3ED-E20F03105EB4}">
    <text>No methane due to FID issue</text>
  </threadedComment>
  <threadedComment ref="N8" dT="2022-08-03T09:54:58.87" personId="{A4D18608-17AD-4974-852A-824D125A1C70}" id="{3D8DA796-B520-4C2F-A0B2-D835418B23B1}">
    <text>No methane due to FID issue</text>
  </threadedComment>
  <threadedComment ref="R9" dT="2022-08-03T09:34:04.48" personId="{A4D18608-17AD-4974-852A-824D125A1C70}" id="{24647D87-7998-4FF7-8FCA-E21EEFAAB72E}">
    <text>Not sampling</text>
  </threadedComment>
  <threadedComment ref="S9" dT="2022-08-03T09:34:04.48" personId="{A4D18608-17AD-4974-852A-824D125A1C70}" id="{7A6D4A4B-56A3-4F23-9F40-5236F38FDB33}">
    <text>Not sampling</text>
  </threadedComment>
  <threadedComment ref="T9" dT="2022-08-03T09:34:04.48" personId="{A4D18608-17AD-4974-852A-824D125A1C70}" id="{5018EF8B-4EBB-4853-B217-302226E68504}">
    <text>Not sampling</text>
  </threadedComment>
  <threadedComment ref="U9" dT="2022-08-03T09:34:04.48" personId="{A4D18608-17AD-4974-852A-824D125A1C70}" id="{C51EE6A3-BA0E-452A-A74D-D9E9A2510421}">
    <text>Not sampling</text>
  </threadedComment>
  <threadedComment ref="V9" dT="2022-08-03T09:34:04.48" personId="{A4D18608-17AD-4974-852A-824D125A1C70}" id="{BA2142C5-559C-4909-981D-6E830F1FDA77}">
    <text>Not sampling</text>
  </threadedComment>
  <threadedComment ref="W9" dT="2022-08-03T09:34:04.48" personId="{A4D18608-17AD-4974-852A-824D125A1C70}" id="{A9016D02-CADB-4D5B-BF98-4EF9309CA421}">
    <text>Not sampling</text>
  </threadedComment>
  <threadedComment ref="X9" dT="2022-08-03T09:34:04.48" personId="{A4D18608-17AD-4974-852A-824D125A1C70}" id="{28002A98-504E-4084-9165-C7151A4D8F74}">
    <text>Not sampling</text>
  </threadedComment>
  <threadedComment ref="R10" dT="2022-08-03T09:34:04.48" personId="{A4D18608-17AD-4974-852A-824D125A1C70}" id="{1D671747-7996-4374-8A8D-3567776676A9}">
    <text>Not sampling</text>
  </threadedComment>
  <threadedComment ref="S10" dT="2022-08-03T09:34:04.48" personId="{A4D18608-17AD-4974-852A-824D125A1C70}" id="{C5B97171-36B9-44E3-B55F-5876511360A5}">
    <text>Not sampling</text>
  </threadedComment>
  <threadedComment ref="T10" dT="2022-08-03T09:34:04.48" personId="{A4D18608-17AD-4974-852A-824D125A1C70}" id="{932A1AA1-5CA0-44AC-BD39-7E4C658F38A1}">
    <text>Not sampling</text>
  </threadedComment>
  <threadedComment ref="U10" dT="2022-08-03T09:34:04.48" personId="{A4D18608-17AD-4974-852A-824D125A1C70}" id="{28B7EFBE-4373-4011-B77E-0440E1191281}">
    <text>Not sampling</text>
  </threadedComment>
  <threadedComment ref="V10" dT="2022-08-03T09:34:04.48" personId="{A4D18608-17AD-4974-852A-824D125A1C70}" id="{CB2F6838-871C-4A32-91B0-3903A87A2589}">
    <text>Not sampling</text>
  </threadedComment>
  <threadedComment ref="W10" dT="2022-08-03T09:34:04.48" personId="{A4D18608-17AD-4974-852A-824D125A1C70}" id="{2AF80B2C-00BA-4EE2-97EE-25E0D395B152}">
    <text>Not sampling</text>
  </threadedComment>
  <threadedComment ref="X10" dT="2022-08-03T09:34:04.48" personId="{A4D18608-17AD-4974-852A-824D125A1C70}" id="{E7015DFB-46A9-4135-BC12-6F70965AF46B}">
    <text>Not sampling</text>
  </threadedComment>
  <threadedComment ref="AF13" dT="2022-08-03T09:38:15.31" personId="{A4D18608-17AD-4974-852A-824D125A1C70}" id="{BF2DDB63-8322-4C60-B424-2F8328730959}">
    <text>Blue laser malfunction</text>
  </threadedComment>
  <threadedComment ref="AI13" dT="2022-08-03T09:39:21.16" personId="{A4D18608-17AD-4974-852A-824D125A1C70}" id="{F641E931-3DAA-48F7-A0AA-0A75FDD51FCC}">
    <text>Blue laser malfunction</text>
  </threadedComment>
  <threadedComment ref="N31" dT="2022-08-03T09:56:42.24" personId="{A4D18608-17AD-4974-852A-824D125A1C70}" id="{BF2CE5FF-DD5D-40F0-A5F4-1323CA11C602}">
    <text>Methane analyzer not working</text>
  </threadedComment>
  <threadedComment ref="Y31" dT="2022-08-03T09:33:44.94" personId="{A4D18608-17AD-4974-852A-824D125A1C70}" id="{EDF53CE7-BD55-455D-99DB-131DCD344843}">
    <text>Not sampling</text>
  </threadedComment>
  <threadedComment ref="Z31" dT="2022-08-03T09:33:44.94" personId="{A4D18608-17AD-4974-852A-824D125A1C70}" id="{BD703994-A823-4C8B-9B7F-4DAF6399BC7E}">
    <text>Not sampling</text>
  </threadedComment>
  <threadedComment ref="AA31" dT="2022-08-03T09:33:44.94" personId="{A4D18608-17AD-4974-852A-824D125A1C70}" id="{3C833F36-11C2-445C-9884-7CF28A400946}">
    <text>Not sampling</text>
  </threadedComment>
  <threadedComment ref="AB31" dT="2022-08-03T09:33:44.94" personId="{A4D18608-17AD-4974-852A-824D125A1C70}" id="{6D3C03B3-A122-4BAF-AEFB-53BDF1433B33}">
    <text>Not sampling</text>
  </threadedComment>
  <threadedComment ref="AC31" dT="2022-08-03T09:33:44.94" personId="{A4D18608-17AD-4974-852A-824D125A1C70}" id="{CC141DE5-7902-47BD-BD5E-953F8E2EE685}">
    <text>Not sampling</text>
  </threadedComment>
  <threadedComment ref="AD31" dT="2022-08-03T09:33:44.94" personId="{A4D18608-17AD-4974-852A-824D125A1C70}" id="{403A4675-E142-4A85-A45E-81CBB8FAD3BD}">
    <text>Not sampling</text>
  </threadedComment>
  <threadedComment ref="AE31" dT="2022-08-03T09:33:44.94" personId="{A4D18608-17AD-4974-852A-824D125A1C70}" id="{185CAA03-18D0-48CF-9A18-F4E45E443CA7}">
    <text>Not sampling</text>
  </threadedComment>
  <threadedComment ref="AF31" dT="2022-08-03T09:33:44.94" personId="{A4D18608-17AD-4974-852A-824D125A1C70}" id="{FC05A7D4-A755-4C87-9DA6-5BD42F77C12E}">
    <text>Not sampling</text>
  </threadedComment>
  <threadedComment ref="AG31" dT="2022-08-03T09:33:44.94" personId="{A4D18608-17AD-4974-852A-824D125A1C70}" id="{D56E557D-EE77-47D0-A3D6-EBDF59EE6E68}">
    <text>Not sampling</text>
  </threadedComment>
  <threadedComment ref="AH31" dT="2022-08-03T09:33:44.94" personId="{A4D18608-17AD-4974-852A-824D125A1C70}" id="{97EB7AA3-74E2-4772-970D-B797050F8FF0}">
    <text>Not sampling</text>
  </threadedComment>
  <threadedComment ref="AI31" dT="2022-08-03T09:33:44.94" personId="{A4D18608-17AD-4974-852A-824D125A1C70}" id="{341B4A11-D671-4E15-BED9-952F425C4651}">
    <text>Not sampling</text>
  </threadedComment>
  <threadedComment ref="N35" dT="2022-08-03T09:56:42.24" personId="{A4D18608-17AD-4974-852A-824D125A1C70}" id="{FFDCC421-7BA9-486A-A04E-FBE1F13FCA6C}">
    <text>Methane analyzer not working so no statistics</text>
  </threadedComment>
  <threadedComment ref="Y35" dT="2022-08-03T09:33:44.94" personId="{A4D18608-17AD-4974-852A-824D125A1C70}" id="{356F634D-DDCB-45AC-BAA2-89D1B1F07C7B}">
    <text>Not sampling, no statistics</text>
  </threadedComment>
  <threadedComment ref="Z35" dT="2022-08-03T09:33:44.94" personId="{A4D18608-17AD-4974-852A-824D125A1C70}" id="{7DB377DB-B290-4C04-8922-E8F5C381908B}">
    <text>Not sampling, no statistics</text>
  </threadedComment>
  <threadedComment ref="AA35" dT="2022-08-03T09:33:44.94" personId="{A4D18608-17AD-4974-852A-824D125A1C70}" id="{F1F89283-BB2A-421C-A2E5-C3E4DBC16736}">
    <text>Not sampling, no statistics</text>
  </threadedComment>
  <threadedComment ref="AB35" dT="2022-08-03T09:33:44.94" personId="{A4D18608-17AD-4974-852A-824D125A1C70}" id="{5B9798FA-0DD0-4BC4-91DE-5526149DB040}">
    <text>Not sampling, no statistics</text>
  </threadedComment>
  <threadedComment ref="AC35" dT="2022-08-03T09:33:44.94" personId="{A4D18608-17AD-4974-852A-824D125A1C70}" id="{450FDC1C-05AF-47CF-B2EB-18DC9C315423}">
    <text>Not sampling, no statistics</text>
  </threadedComment>
  <threadedComment ref="AD35" dT="2022-08-03T09:33:44.94" personId="{A4D18608-17AD-4974-852A-824D125A1C70}" id="{93A8BD8F-8226-4C72-9EA4-5C31B8A824E1}">
    <text>Not sampling, no statistics</text>
  </threadedComment>
  <threadedComment ref="AE35" dT="2022-08-03T09:33:44.94" personId="{A4D18608-17AD-4974-852A-824D125A1C70}" id="{A16513E2-950D-486E-B150-5683F355A9ED}">
    <text>Not sampling, no statistics</text>
  </threadedComment>
  <threadedComment ref="AF35" dT="2022-08-03T09:33:44.94" personId="{A4D18608-17AD-4974-852A-824D125A1C70}" id="{D8033B73-0A35-45D5-980F-18576CC31CDA}">
    <text>Not sampling, no statistics</text>
  </threadedComment>
  <threadedComment ref="AG35" dT="2022-08-03T09:33:44.94" personId="{A4D18608-17AD-4974-852A-824D125A1C70}" id="{55874B63-99A4-4EFC-B92B-202590FADDCD}">
    <text>Not sampling, no statistics</text>
  </threadedComment>
  <threadedComment ref="AH35" dT="2022-08-03T09:33:44.94" personId="{A4D18608-17AD-4974-852A-824D125A1C70}" id="{3299A10F-A74A-45FA-B515-FEABF4A941D2}">
    <text>Not sampling, no statistics</text>
  </threadedComment>
  <threadedComment ref="AI35" dT="2022-08-03T09:33:44.94" personId="{A4D18608-17AD-4974-852A-824D125A1C70}" id="{E60F121E-EA96-48AB-BD51-4EE2B2B5F800}">
    <text>Not sampling, no statistics</text>
  </threadedComment>
</ThreadedComments>
</file>

<file path=xl/threadedComments/threadedComment3.xml><?xml version="1.0" encoding="utf-8"?>
<ThreadedComments xmlns="http://schemas.microsoft.com/office/spreadsheetml/2018/threadedcomments" xmlns:x="http://schemas.openxmlformats.org/spreadsheetml/2006/main">
  <threadedComment ref="H2" dT="2022-08-05T08:18:41.70" personId="{A4D18608-17AD-4974-852A-824D125A1C70}" id="{029C8DDD-FDCD-432A-8900-9D9772C38415}">
    <text>Background sample, no fuel burned.</text>
  </threadedComment>
  <threadedComment ref="I2" dT="2022-08-05T08:18:41.70" personId="{A4D18608-17AD-4974-852A-824D125A1C70}" id="{71D4ED0C-5E46-4233-AAA3-0F2796901A28}">
    <text>Background sample, no fuel burned.</text>
  </threadedComment>
  <threadedComment ref="J2" dT="2022-08-05T08:18:41.70" personId="{A4D18608-17AD-4974-852A-824D125A1C70}" id="{31E4890B-6C64-4843-882B-DF13A606B985}">
    <text>Background sample, no fuel burned.</text>
  </threadedComment>
  <threadedComment ref="K2" dT="2022-08-05T08:18:41.70" personId="{A4D18608-17AD-4974-852A-824D125A1C70}" id="{FF477D7B-5421-4B5D-8ABC-B1F81C7FBCAD}">
    <text>Background sample, no fuel burned.</text>
  </threadedComment>
  <threadedComment ref="H25" dT="2022-08-05T08:18:41.70" personId="{A4D18608-17AD-4974-852A-824D125A1C70}" id="{8C599B7F-E98E-42EF-AEE6-944098C98B51}">
    <text>Background sample, no fuel burned.</text>
  </threadedComment>
  <threadedComment ref="I25" dT="2022-08-05T08:18:41.70" personId="{A4D18608-17AD-4974-852A-824D125A1C70}" id="{19E676B1-DB88-4670-903A-9A77F0BBFD33}">
    <text>Background sample, no fuel burned.</text>
  </threadedComment>
  <threadedComment ref="J25" dT="2022-08-05T08:18:41.70" personId="{A4D18608-17AD-4974-852A-824D125A1C70}" id="{7A2498AC-3A75-47CF-B665-0D67C51C0BFA}">
    <text>Background sample, no fuel burned.</text>
  </threadedComment>
  <threadedComment ref="K25" dT="2022-08-05T08:18:41.70" personId="{A4D18608-17AD-4974-852A-824D125A1C70}" id="{C7B4181F-5197-4EC1-B86A-0E587266A775}">
    <text>Background sample, no fuel burned.</text>
  </threadedComment>
</ThreadedComments>
</file>

<file path=xl/threadedComments/threadedComment4.xml><?xml version="1.0" encoding="utf-8"?>
<ThreadedComments xmlns="http://schemas.microsoft.com/office/spreadsheetml/2018/threadedcomments" xmlns:x="http://schemas.openxmlformats.org/spreadsheetml/2006/main">
  <threadedComment ref="M2" dT="2022-08-03T09:56:42.24" personId="{A4D18608-17AD-4974-852A-824D125A1C70}" id="{5777A72E-3FC2-45C3-871E-EB1A8C489620}">
    <text>Methane analyzer not working</text>
  </threadedComment>
  <threadedComment ref="AE2" dT="2022-08-05T08:26:05.99" personId="{A4D18608-17AD-4974-852A-824D125A1C70}" id="{49D70E5D-D3C8-429B-9359-D695BB085E94}">
    <text>Not calculated for background samples</text>
  </threadedComment>
  <threadedComment ref="AF2" dT="2022-08-03T09:33:44.94" personId="{A4D18608-17AD-4974-852A-824D125A1C70}" id="{B0172640-EE4E-4AF6-959E-CC971C42A5A7}">
    <text>Not sampling</text>
  </threadedComment>
  <threadedComment ref="AG2" dT="2022-08-03T09:33:44.94" personId="{A4D18608-17AD-4974-852A-824D125A1C70}" id="{F0AAEA8E-1B05-4AB6-86B5-847DE6B6AC1A}">
    <text>Not sampling</text>
  </threadedComment>
  <threadedComment ref="AH2" dT="2022-08-03T09:33:44.94" personId="{A4D18608-17AD-4974-852A-824D125A1C70}" id="{89346174-EA03-40EB-97CA-C9E215036B0B}">
    <text>Not sampling</text>
  </threadedComment>
  <threadedComment ref="AI2" dT="2022-08-03T09:33:44.94" personId="{A4D18608-17AD-4974-852A-824D125A1C70}" id="{33094FF6-189E-48D1-A29B-CE9994610938}">
    <text>Not sampling</text>
  </threadedComment>
  <threadedComment ref="AJ2" dT="2022-08-03T09:33:44.94" personId="{A4D18608-17AD-4974-852A-824D125A1C70}" id="{B31B3114-C1F3-4BFD-9280-2FB590C3FE7C}">
    <text>Not sampling</text>
  </threadedComment>
  <threadedComment ref="AK2" dT="2022-08-03T09:33:44.94" personId="{A4D18608-17AD-4974-852A-824D125A1C70}" id="{4154C3DC-CB4C-4C10-BFC2-07EDE23042D8}">
    <text>Not sampling</text>
  </threadedComment>
  <threadedComment ref="AL2" dT="2022-08-05T08:26:05.99" personId="{A4D18608-17AD-4974-852A-824D125A1C70}" id="{7F5486DD-85C3-468C-A142-62608F090B7B}">
    <text>Not calculated for background samples</text>
  </threadedComment>
  <threadedComment ref="AM2" dT="2022-08-03T09:33:44.94" personId="{A4D18608-17AD-4974-852A-824D125A1C70}" id="{F494E51F-8AE5-4003-A135-06F473CD87BD}">
    <text>Not sampling</text>
  </threadedComment>
  <threadedComment ref="AN2" dT="2022-08-03T09:33:44.94" personId="{A4D18608-17AD-4974-852A-824D125A1C70}" id="{BF6C10DC-324E-481E-B94D-5019D5857595}">
    <text>Not sampling</text>
  </threadedComment>
  <threadedComment ref="AO2" dT="2022-08-03T09:33:44.94" personId="{A4D18608-17AD-4974-852A-824D125A1C70}" id="{C25F2DD2-4511-4F22-86D4-8F220B0434F4}">
    <text>Not sampling</text>
  </threadedComment>
  <threadedComment ref="AP2" dT="2022-08-03T09:33:44.94" personId="{A4D18608-17AD-4974-852A-824D125A1C70}" id="{6A0B4235-E326-4897-9195-25B54C7758F6}">
    <text>Not sampling</text>
  </threadedComment>
  <threadedComment ref="AQ2" dT="2022-08-03T09:33:44.94" personId="{A4D18608-17AD-4974-852A-824D125A1C70}" id="{85D7A981-12BD-48AC-879D-1DA879F1C154}">
    <text>Not sampling</text>
  </threadedComment>
  <threadedComment ref="AR2" dT="2022-08-03T09:33:44.94" personId="{A4D18608-17AD-4974-852A-824D125A1C70}" id="{1722ECD8-0A52-483B-A262-A93811C970D6}">
    <text>Not sampling</text>
  </threadedComment>
  <threadedComment ref="AS2" dT="2022-08-03T09:33:44.94" personId="{A4D18608-17AD-4974-852A-824D125A1C70}" id="{1BA31EC0-8C3E-47E6-9D81-9CE02A68AACB}">
    <text>Not sampling</text>
  </threadedComment>
  <threadedComment ref="AT2" dT="2022-08-05T08:26:05.99" personId="{A4D18608-17AD-4974-852A-824D125A1C70}" id="{9A44AD7C-6E94-4834-9701-CE510D6642D5}">
    <text>Not calculated for background samples</text>
  </threadedComment>
  <threadedComment ref="AU2" dT="2022-08-05T08:26:05.99" personId="{A4D18608-17AD-4974-852A-824D125A1C70}" id="{DB864E9C-A703-4570-9FB7-29AA3CE5FAC7}">
    <text>Not calculated for background samples</text>
  </threadedComment>
  <threadedComment ref="AV2" dT="2022-08-05T08:26:05.99" personId="{A4D18608-17AD-4974-852A-824D125A1C70}" id="{5145D31D-19A6-4C3B-94D7-32CB9CB6DB67}">
    <text>Not calculated for background samples</text>
  </threadedComment>
  <threadedComment ref="AW2" dT="2022-08-05T08:26:05.99" personId="{A4D18608-17AD-4974-852A-824D125A1C70}" id="{B17DDE54-AEC5-4A99-A8D3-F003C7683AE1}">
    <text>Not calculated for background samples</text>
  </threadedComment>
  <threadedComment ref="AX2" dT="2022-08-05T08:26:05.99" personId="{A4D18608-17AD-4974-852A-824D125A1C70}" id="{31442C29-CD72-4746-8952-522AFF4EAFDC}">
    <text>Not calculated for background samples</text>
  </threadedComment>
  <threadedComment ref="AY2" dT="2022-08-03T09:33:44.94" personId="{A4D18608-17AD-4974-852A-824D125A1C70}" id="{17E17B0D-F67E-4BD2-A553-7E041D7DD7EB}">
    <text>Not sampling</text>
  </threadedComment>
  <threadedComment ref="AZ2" dT="2022-08-03T09:33:44.94" personId="{A4D18608-17AD-4974-852A-824D125A1C70}" id="{FB257578-DF1C-4A08-90CE-3725B53B84B1}">
    <text>Not sampling</text>
  </threadedComment>
  <threadedComment ref="BA2" dT="2022-08-03T09:33:44.94" personId="{A4D18608-17AD-4974-852A-824D125A1C70}" id="{A91DF986-2E7F-435D-BA7E-C27460CADF0B}">
    <text>Not sampling</text>
  </threadedComment>
  <threadedComment ref="BB2" dT="2022-08-03T09:33:44.94" personId="{A4D18608-17AD-4974-852A-824D125A1C70}" id="{E937ED7D-33D8-4F69-B015-A4E3BBDA48F7}">
    <text>Not sampling</text>
  </threadedComment>
  <threadedComment ref="BC2" dT="2022-08-03T09:33:44.94" personId="{A4D18608-17AD-4974-852A-824D125A1C70}" id="{373BA425-A5E4-4EC2-8941-82D2743431EE}">
    <text>Not sampling</text>
  </threadedComment>
  <threadedComment ref="BD2" dT="2022-08-03T09:33:44.94" personId="{A4D18608-17AD-4974-852A-824D125A1C70}" id="{02ECC75A-273F-48C0-B9AA-FA89E7B2EC55}">
    <text>Not sampling</text>
  </threadedComment>
  <threadedComment ref="BE2" dT="2022-08-03T09:33:44.94" personId="{A4D18608-17AD-4974-852A-824D125A1C70}" id="{B20BB51C-83B4-4A5B-AAA7-0811D0F9B2BF}">
    <text>Not sampling</text>
  </threadedComment>
  <threadedComment ref="BF2" dT="2022-08-03T09:33:44.94" personId="{A4D18608-17AD-4974-852A-824D125A1C70}" id="{C51EC619-D1DD-487A-904F-B7E4C5547DC1}">
    <text>Not sampling</text>
  </threadedComment>
  <threadedComment ref="BG2" dT="2022-08-03T09:33:44.94" personId="{A4D18608-17AD-4974-852A-824D125A1C70}" id="{2A890A81-E6AC-4448-92EA-6DDC28D8E913}">
    <text>Not sampling</text>
  </threadedComment>
  <threadedComment ref="BH2" dT="2022-08-03T09:33:44.94" personId="{A4D18608-17AD-4974-852A-824D125A1C70}" id="{0896FA55-7002-493C-94B6-9734A3AAF03B}">
    <text>Not sampling</text>
  </threadedComment>
  <threadedComment ref="BI2" dT="2022-08-03T09:33:44.94" personId="{A4D18608-17AD-4974-852A-824D125A1C70}" id="{987D1C0E-2ACD-412F-A1E3-06D28DEB1B7B}">
    <text>Not sampling</text>
  </threadedComment>
  <threadedComment ref="BJ2" dT="2022-08-03T09:33:44.94" personId="{A4D18608-17AD-4974-852A-824D125A1C70}" id="{628B7E72-D77B-442E-A95A-AE0CF777B9D6}">
    <text>Not sampling</text>
  </threadedComment>
  <threadedComment ref="BK2" dT="2022-08-03T09:33:44.94" personId="{A4D18608-17AD-4974-852A-824D125A1C70}" id="{71341026-F634-4315-B301-D0FB12067485}">
    <text>Not sampling</text>
  </threadedComment>
  <threadedComment ref="BL2" dT="2022-08-03T09:33:44.94" personId="{A4D18608-17AD-4974-852A-824D125A1C70}" id="{CA0F7F2A-5007-40A3-87C4-54939BF538C2}">
    <text>Not sampling</text>
  </threadedComment>
  <threadedComment ref="BM2" dT="2022-08-03T09:33:44.94" personId="{A4D18608-17AD-4974-852A-824D125A1C70}" id="{2F6878A1-A6A1-47C4-BCFE-762D60EEBA56}">
    <text>Not sampling</text>
  </threadedComment>
  <threadedComment ref="BN2" dT="2022-08-03T09:33:44.94" personId="{A4D18608-17AD-4974-852A-824D125A1C70}" id="{B60F1DA4-51B6-4D6D-B5B4-A4E5563B519F}">
    <text>Not sampling</text>
  </threadedComment>
  <threadedComment ref="BO2" dT="2022-08-03T09:33:44.94" personId="{A4D18608-17AD-4974-852A-824D125A1C70}" id="{C5861FB9-F395-4E23-AC6F-9193DCAE3AE7}">
    <text>Not sampling</text>
  </threadedComment>
  <threadedComment ref="BP2" dT="2022-08-03T09:33:44.94" personId="{A4D18608-17AD-4974-852A-824D125A1C70}" id="{1E177489-FA5A-43F8-9306-40C96A342B3C}">
    <text>Not sampling</text>
  </threadedComment>
  <threadedComment ref="BQ2" dT="2022-08-03T09:33:44.94" personId="{A4D18608-17AD-4974-852A-824D125A1C70}" id="{E8C92854-A4F0-4B97-BCD5-E3777E50B2D9}">
    <text>Not sampling</text>
  </threadedComment>
  <threadedComment ref="BR2" dT="2022-08-03T09:33:44.94" personId="{A4D18608-17AD-4974-852A-824D125A1C70}" id="{850F323B-13F9-415E-B118-DBFA982A4431}">
    <text>Not sampling</text>
  </threadedComment>
  <threadedComment ref="BS2" dT="2022-08-03T09:33:44.94" personId="{A4D18608-17AD-4974-852A-824D125A1C70}" id="{58404E16-C641-410E-B397-7325AAED3D53}">
    <text>Not sampling</text>
  </threadedComment>
  <threadedComment ref="BT2" dT="2022-08-03T09:33:44.94" personId="{A4D18608-17AD-4974-852A-824D125A1C70}" id="{BBD06AB0-E2A0-48FA-AFE4-6E979C8EFB2B}">
    <text>Not sampling</text>
  </threadedComment>
  <threadedComment ref="BU2" dT="2022-08-03T09:33:44.94" personId="{A4D18608-17AD-4974-852A-824D125A1C70}" id="{FE8A6BF0-E308-4FDB-BF1E-EDF9AB900113}">
    <text>Not sampling</text>
  </threadedComment>
  <threadedComment ref="BV2" dT="2022-08-03T09:33:44.94" personId="{A4D18608-17AD-4974-852A-824D125A1C70}" id="{AF06BA3F-72A6-41FD-BD7A-894B28847585}">
    <text>Not sampling</text>
  </threadedComment>
  <threadedComment ref="BW2" dT="2022-08-03T09:33:44.94" personId="{A4D18608-17AD-4974-852A-824D125A1C70}" id="{2BF2506E-A36E-4E31-A0A3-CFF0A754F51D}">
    <text>Not sampling</text>
  </threadedComment>
  <threadedComment ref="BX2" dT="2022-08-03T09:33:44.94" personId="{A4D18608-17AD-4974-852A-824D125A1C70}" id="{0E60C212-135B-41A7-AB2D-ED88AC05B150}">
    <text>Not sampling</text>
  </threadedComment>
  <threadedComment ref="BY2" dT="2022-08-03T09:33:44.94" personId="{A4D18608-17AD-4974-852A-824D125A1C70}" id="{AAEB3B30-8A2B-4BCF-8010-9E5C8CF36B34}">
    <text>Not sampling</text>
  </threadedComment>
  <threadedComment ref="BZ2" dT="2022-08-03T09:33:44.94" personId="{A4D18608-17AD-4974-852A-824D125A1C70}" id="{FF24E551-4A04-4EAB-8A02-929A5E511776}">
    <text>Not sampling</text>
  </threadedComment>
  <threadedComment ref="CA2" dT="2022-08-03T09:33:44.94" personId="{A4D18608-17AD-4974-852A-824D125A1C70}" id="{F7A38A3B-887F-49AF-913D-60E9F80A5366}">
    <text>Not sampling</text>
  </threadedComment>
  <threadedComment ref="CB2" dT="2022-08-03T09:33:44.94" personId="{A4D18608-17AD-4974-852A-824D125A1C70}" id="{24FEA743-25F1-4D18-AEBF-1BD04717B9A9}">
    <text>Not sampling</text>
  </threadedComment>
  <threadedComment ref="CC2" dT="2022-08-03T09:33:44.94" personId="{A4D18608-17AD-4974-852A-824D125A1C70}" id="{F80BE565-DD53-4547-81FD-DDC839C30BD3}">
    <text>Not sampling</text>
  </threadedComment>
  <threadedComment ref="CD2" dT="2022-08-03T09:33:44.94" personId="{A4D18608-17AD-4974-852A-824D125A1C70}" id="{8A56EE80-93D8-405A-81C5-B4457C40767B}">
    <text>Not sampling</text>
  </threadedComment>
  <threadedComment ref="CE2" dT="2022-08-03T09:33:44.94" personId="{A4D18608-17AD-4974-852A-824D125A1C70}" id="{D999FD30-DBE2-4764-B43B-1BB82D2A93C7}">
    <text>Not sampling</text>
  </threadedComment>
  <threadedComment ref="CF2" dT="2022-08-03T09:33:44.94" personId="{A4D18608-17AD-4974-852A-824D125A1C70}" id="{83EDAA0D-99FD-4403-A0FF-9924F3684ADC}">
    <text>Not sampling</text>
  </threadedComment>
  <threadedComment ref="CG2" dT="2022-08-03T09:33:44.94" personId="{A4D18608-17AD-4974-852A-824D125A1C70}" id="{482B0707-1E38-4DFD-88D6-81AFEE37F00B}">
    <text>Not sampling</text>
  </threadedComment>
  <threadedComment ref="CH2" dT="2022-08-03T09:33:44.94" personId="{A4D18608-17AD-4974-852A-824D125A1C70}" id="{C56A733B-E634-4B8F-92AC-00F5899933E4}">
    <text>Not sampling</text>
  </threadedComment>
  <threadedComment ref="G5" dT="2022-08-03T10:03:56.68" personId="{A4D18608-17AD-4974-852A-824D125A1C70}" id="{C9A5F0F5-E622-4D9A-9A4F-7076FF472B1E}">
    <text>Failed post span</text>
  </threadedComment>
  <threadedComment ref="L5" dT="2022-08-03T12:41:39.08" personId="{A4D18608-17AD-4974-852A-824D125A1C70}" id="{4A7E8865-AB4E-468A-91CE-3BA7A64F5888}">
    <text>Failed post span</text>
  </threadedComment>
  <threadedComment ref="M7" dT="2022-08-03T09:54:58.87" personId="{A4D18608-17AD-4974-852A-824D125A1C70}" id="{5BEC3C3F-7471-480A-9B2D-8608BC35A8C0}">
    <text>No methane due to FID issue</text>
  </threadedComment>
  <threadedComment ref="M8" dT="2022-08-03T09:54:58.87" personId="{A4D18608-17AD-4974-852A-824D125A1C70}" id="{60A946F0-EDCC-4BF2-8227-2F7A51935E4A}">
    <text>No methane due to FID issue</text>
  </threadedComment>
  <threadedComment ref="W9" dT="2022-08-03T09:33:44.94" personId="{A4D18608-17AD-4974-852A-824D125A1C70}" id="{16AFA788-06B6-4C75-B497-D594D6FCE277}">
    <text>Not sampling</text>
  </threadedComment>
  <threadedComment ref="X9" dT="2022-08-03T09:33:44.94" personId="{A4D18608-17AD-4974-852A-824D125A1C70}" id="{30DE0E0E-EDB5-4A4F-AF7A-826664BEEDCB}">
    <text>Not sampling</text>
  </threadedComment>
  <threadedComment ref="Y9" dT="2022-08-03T09:33:44.94" personId="{A4D18608-17AD-4974-852A-824D125A1C70}" id="{26A3033E-4BDF-4BFD-B2EC-C9C728CAF548}">
    <text>Not sampling</text>
  </threadedComment>
  <threadedComment ref="Z9" dT="2022-08-03T09:33:44.94" personId="{A4D18608-17AD-4974-852A-824D125A1C70}" id="{1154B908-8844-4E5C-B096-9328E40BCBC5}">
    <text>Not sampling</text>
  </threadedComment>
  <threadedComment ref="AA9" dT="2022-08-03T09:33:44.94" personId="{A4D18608-17AD-4974-852A-824D125A1C70}" id="{71249650-8DCC-44AB-BD33-66027F386FA4}">
    <text>Not sampling</text>
  </threadedComment>
  <threadedComment ref="AB9" dT="2022-08-03T09:33:44.94" personId="{A4D18608-17AD-4974-852A-824D125A1C70}" id="{0243E2F0-60FA-420A-97EB-AB3F6462174F}">
    <text>Not sampling</text>
  </threadedComment>
  <threadedComment ref="AC9" dT="2022-08-03T09:33:44.94" personId="{A4D18608-17AD-4974-852A-824D125A1C70}" id="{CB3C4FF7-79B1-4889-92D8-2CAEB614D601}">
    <text>Not sampling</text>
  </threadedComment>
  <threadedComment ref="AD9" dT="2022-08-03T09:33:44.94" personId="{A4D18608-17AD-4974-852A-824D125A1C70}" id="{52950854-2296-4E17-837E-251F7BF77E9A}">
    <text>Not sampling</text>
  </threadedComment>
  <threadedComment ref="AE9" dT="2022-08-03T09:33:44.94" personId="{A4D18608-17AD-4974-852A-824D125A1C70}" id="{B8C06895-2287-4F8E-A03E-ABEA103ED841}">
    <text>Not sampling</text>
  </threadedComment>
  <threadedComment ref="W10" dT="2022-08-03T09:33:44.94" personId="{A4D18608-17AD-4974-852A-824D125A1C70}" id="{381293FD-DFDD-4D92-8232-B3C0971E70A3}">
    <text>Not sampling</text>
  </threadedComment>
  <threadedComment ref="X10" dT="2022-08-03T09:33:44.94" personId="{A4D18608-17AD-4974-852A-824D125A1C70}" id="{CFB8EB20-A411-45AC-8D80-72A5D33A93DB}">
    <text>Not sampling</text>
  </threadedComment>
  <threadedComment ref="Y10" dT="2022-08-03T09:33:44.94" personId="{A4D18608-17AD-4974-852A-824D125A1C70}" id="{6D12DB02-673C-4C94-A262-D1CD66C75BAB}">
    <text>Not sampling</text>
  </threadedComment>
  <threadedComment ref="Z10" dT="2022-08-03T09:33:44.94" personId="{A4D18608-17AD-4974-852A-824D125A1C70}" id="{CCC0C9A3-F935-44AA-B9DE-5A359C44043E}">
    <text>Not sampling</text>
  </threadedComment>
  <threadedComment ref="AA10" dT="2022-08-03T09:33:44.94" personId="{A4D18608-17AD-4974-852A-824D125A1C70}" id="{FAA92F70-F1A6-4C2F-AF04-C6C2400D1B1D}">
    <text>Not sampling</text>
  </threadedComment>
  <threadedComment ref="AB10" dT="2022-08-03T09:33:44.94" personId="{A4D18608-17AD-4974-852A-824D125A1C70}" id="{A2B60A78-0E85-49AF-95B4-954903CD2236}">
    <text>Not sampling</text>
  </threadedComment>
  <threadedComment ref="AC10" dT="2022-08-03T09:33:44.94" personId="{A4D18608-17AD-4974-852A-824D125A1C70}" id="{476D5596-102E-4B50-BC1F-710FDD6F5E6A}">
    <text>Not sampling</text>
  </threadedComment>
  <threadedComment ref="AD10" dT="2022-08-03T09:33:44.94" personId="{A4D18608-17AD-4974-852A-824D125A1C70}" id="{02B14049-72FB-499B-91B9-1ABDCC44C705}">
    <text>Not sampling</text>
  </threadedComment>
  <threadedComment ref="AE10" dT="2022-08-03T09:33:44.94" personId="{A4D18608-17AD-4974-852A-824D125A1C70}" id="{A3F09A68-B13F-43B9-8B03-A67197BF103F}">
    <text>Not sampling</text>
  </threadedComment>
  <threadedComment ref="AM13" dT="2022-08-05T08:29:40.72" personId="{A4D18608-17AD-4974-852A-824D125A1C70}" id="{D3F9D01D-5C72-4148-9FB4-4FD04C6E0EF3}">
    <text>Blue laser malfunction</text>
  </threadedComment>
  <threadedComment ref="AP13" dT="2022-08-05T08:29:40.72" personId="{A4D18608-17AD-4974-852A-824D125A1C70}" id="{55229CA7-FD62-4C0C-A92F-354C0BBA60D0}">
    <text>Blue laser malfunction</text>
  </threadedComment>
  <threadedComment ref="AT13" dT="2022-08-05T08:25:37.13" personId="{A4D18608-17AD-4974-852A-824D125A1C70}" id="{AEBA0AF0-8315-43B1-8D4C-B7EB25B184A7}">
    <text>Missing blue laser</text>
  </threadedComment>
  <threadedComment ref="AW13" dT="2021-05-14T07:40:22.58" personId="{A4D18608-17AD-4974-852A-824D125A1C70}" id="{30D29CF6-A9F2-48A4-A308-996825863A60}">
    <text>Missing blue laser - so calculations leave out blue channel</text>
  </threadedComment>
  <threadedComment ref="AM14" dT="2022-08-05T08:29:40.72" personId="{A4D18608-17AD-4974-852A-824D125A1C70}" id="{6C66B78B-E1D3-48CE-B80A-EA521FC4E9EA}">
    <text>Blue laser malfunction</text>
  </threadedComment>
  <threadedComment ref="AP14" dT="2022-08-05T08:29:40.72" personId="{A4D18608-17AD-4974-852A-824D125A1C70}" id="{9D51A0F4-53C7-48E4-9072-670FE29485BC}">
    <text>Blue laser malfunction</text>
  </threadedComment>
  <threadedComment ref="AT14" dT="2022-08-05T08:25:37.13" personId="{A4D18608-17AD-4974-852A-824D125A1C70}" id="{210C7AD9-DBD3-40DF-89AF-E7C4FEDD3F63}">
    <text>Missing blue laser</text>
  </threadedComment>
  <threadedComment ref="AY18" dT="2022-08-03T10:04:51.24" personId="{A4D18608-17AD-4974-852A-824D125A1C70}" id="{17F9B86D-7C78-4F86-A168-D7771B646D5C}">
    <text>EEPS stopped sampling early</text>
  </threadedComment>
  <threadedComment ref="AZ18" dT="2022-08-03T10:04:51.24" personId="{A4D18608-17AD-4974-852A-824D125A1C70}" id="{8E05BBAD-D5C1-42D0-B8A5-A41084012619}">
    <text>EEPS stopped sampling early</text>
  </threadedComment>
  <threadedComment ref="BA18" dT="2022-08-03T10:04:51.24" personId="{A4D18608-17AD-4974-852A-824D125A1C70}" id="{AFD928C8-7AB0-4295-855D-6AB13FCDD2F2}">
    <text>EEPS stopped sampling early</text>
  </threadedComment>
  <threadedComment ref="BB18" dT="2022-08-03T10:04:51.24" personId="{A4D18608-17AD-4974-852A-824D125A1C70}" id="{1C78E5F5-0A85-4219-B2E8-F87366F70D98}">
    <text>EEPS stopped sampling early</text>
  </threadedComment>
  <threadedComment ref="BC18" dT="2022-08-03T10:04:51.24" personId="{A4D18608-17AD-4974-852A-824D125A1C70}" id="{6EFB9501-CD34-4385-9FAA-AAE236BBB4D0}">
    <text>EEPS stopped sampling early</text>
  </threadedComment>
  <threadedComment ref="BD18" dT="2022-08-03T10:04:51.24" personId="{A4D18608-17AD-4974-852A-824D125A1C70}" id="{80B55131-0FF9-4C93-AEAB-002D409B2EC2}">
    <text>EEPS stopped sampling early</text>
  </threadedComment>
  <threadedComment ref="BE18" dT="2022-08-03T10:04:51.24" personId="{A4D18608-17AD-4974-852A-824D125A1C70}" id="{2C671137-013E-4BC0-9411-678F4061D3A2}">
    <text>EEPS stopped sampling early</text>
  </threadedComment>
  <threadedComment ref="BF18" dT="2022-08-03T10:04:51.24" personId="{A4D18608-17AD-4974-852A-824D125A1C70}" id="{C6AE8482-A355-4165-A187-CEDA7D6D4971}">
    <text>EEPS stopped sampling early</text>
  </threadedComment>
  <threadedComment ref="BG18" dT="2022-08-03T10:04:51.24" personId="{A4D18608-17AD-4974-852A-824D125A1C70}" id="{D7F0A459-030D-4AFE-AF0A-FC63A80AD483}">
    <text>EEPS stopped sampling early</text>
  </threadedComment>
  <threadedComment ref="BH18" dT="2022-08-03T10:04:51.24" personId="{A4D18608-17AD-4974-852A-824D125A1C70}" id="{EB9E4FCD-56BD-43C2-999D-F71174EE9697}">
    <text>EEPS stopped sampling early</text>
  </threadedComment>
  <threadedComment ref="BI18" dT="2022-08-03T10:04:51.24" personId="{A4D18608-17AD-4974-852A-824D125A1C70}" id="{EB170C89-6517-4901-BE4F-0201F0BB67F7}">
    <text>EEPS stopped sampling early</text>
  </threadedComment>
  <threadedComment ref="BJ18" dT="2022-08-03T10:04:51.24" personId="{A4D18608-17AD-4974-852A-824D125A1C70}" id="{06AEC92E-DAEA-4C61-850A-AF18F512EBD1}">
    <text>EEPS stopped sampling early</text>
  </threadedComment>
  <threadedComment ref="BK18" dT="2022-08-03T10:04:51.24" personId="{A4D18608-17AD-4974-852A-824D125A1C70}" id="{72C2C3F6-6D5F-40CF-AEF2-B3C03C5B7CD0}">
    <text>EEPS stopped sampling early</text>
  </threadedComment>
  <threadedComment ref="BL18" dT="2022-08-03T10:04:51.24" personId="{A4D18608-17AD-4974-852A-824D125A1C70}" id="{57136645-85B4-448F-B3C1-B84CDB80AA15}">
    <text>EEPS stopped sampling early</text>
  </threadedComment>
  <threadedComment ref="BM18" dT="2022-08-03T10:04:51.24" personId="{A4D18608-17AD-4974-852A-824D125A1C70}" id="{9D5CC7FF-5ACB-4058-9F9D-16E09BE270FD}">
    <text>EEPS stopped sampling early</text>
  </threadedComment>
  <threadedComment ref="BN18" dT="2022-08-03T10:04:51.24" personId="{A4D18608-17AD-4974-852A-824D125A1C70}" id="{9549DB3C-0303-48A2-921E-5C66893491E8}">
    <text>EEPS stopped sampling early</text>
  </threadedComment>
  <threadedComment ref="BO18" dT="2022-08-03T10:04:51.24" personId="{A4D18608-17AD-4974-852A-824D125A1C70}" id="{6594A375-FB99-4EFA-8B38-9555C8E6220F}">
    <text>EEPS stopped sampling early</text>
  </threadedComment>
  <threadedComment ref="BP18" dT="2022-08-03T10:04:51.24" personId="{A4D18608-17AD-4974-852A-824D125A1C70}" id="{3769FFBD-F933-424B-9323-A57BC359A03D}">
    <text>EEPS stopped sampling early</text>
  </threadedComment>
  <threadedComment ref="BQ18" dT="2022-08-03T10:04:51.24" personId="{A4D18608-17AD-4974-852A-824D125A1C70}" id="{0CD11ACB-99FB-42D2-BE2B-C6764390E48C}">
    <text>EEPS stopped sampling early</text>
  </threadedComment>
  <threadedComment ref="BR18" dT="2022-08-03T10:04:51.24" personId="{A4D18608-17AD-4974-852A-824D125A1C70}" id="{60409FD5-ADC4-4C89-BBBF-F2690E72F82D}">
    <text>EEPS stopped sampling early</text>
  </threadedComment>
  <threadedComment ref="BS18" dT="2022-08-03T10:04:51.24" personId="{A4D18608-17AD-4974-852A-824D125A1C70}" id="{9D61D89B-847F-4874-A95B-45A4F193ADE4}">
    <text>EEPS stopped sampling early</text>
  </threadedComment>
  <threadedComment ref="BT18" dT="2022-08-03T10:04:51.24" personId="{A4D18608-17AD-4974-852A-824D125A1C70}" id="{60337DFE-89AD-4E19-858A-F8050CCDE890}">
    <text>EEPS stopped sampling early</text>
  </threadedComment>
  <threadedComment ref="BU18" dT="2022-08-03T10:04:51.24" personId="{A4D18608-17AD-4974-852A-824D125A1C70}" id="{A8656CCA-A4B1-426F-BEAC-FA790A8CCB35}">
    <text>EEPS stopped sampling early</text>
  </threadedComment>
  <threadedComment ref="BV18" dT="2022-08-03T10:04:51.24" personId="{A4D18608-17AD-4974-852A-824D125A1C70}" id="{CE000F6C-2489-46E4-B9E1-BD5A18C64A4F}">
    <text>EEPS stopped sampling early</text>
  </threadedComment>
  <threadedComment ref="BW18" dT="2022-08-03T10:04:51.24" personId="{A4D18608-17AD-4974-852A-824D125A1C70}" id="{5BAD32AC-14D7-41C2-AF6E-8EBE8029C081}">
    <text>EEPS stopped sampling early</text>
  </threadedComment>
  <threadedComment ref="BX18" dT="2022-08-03T10:04:51.24" personId="{A4D18608-17AD-4974-852A-824D125A1C70}" id="{10AEA3B2-9413-4E4C-BAC1-E1AB95DED97E}">
    <text>EEPS stopped sampling early</text>
  </threadedComment>
  <threadedComment ref="BY18" dT="2022-08-03T10:04:51.24" personId="{A4D18608-17AD-4974-852A-824D125A1C70}" id="{6B865735-007D-4504-A942-D221D102B942}">
    <text>EEPS stopped sampling early</text>
  </threadedComment>
  <threadedComment ref="BZ18" dT="2022-08-03T10:04:51.24" personId="{A4D18608-17AD-4974-852A-824D125A1C70}" id="{DB66F328-D780-4CE7-8212-1D3A58AAD43C}">
    <text>EEPS stopped sampling early</text>
  </threadedComment>
  <threadedComment ref="CA18" dT="2022-08-03T10:04:51.24" personId="{A4D18608-17AD-4974-852A-824D125A1C70}" id="{248827C7-7056-41BF-88EA-FD6D154E473F}">
    <text>EEPS stopped sampling early</text>
  </threadedComment>
  <threadedComment ref="CB18" dT="2022-08-03T10:04:51.24" personId="{A4D18608-17AD-4974-852A-824D125A1C70}" id="{6BB140B8-7EB2-47BB-8441-AC66A74289D8}">
    <text>EEPS stopped sampling early</text>
  </threadedComment>
  <threadedComment ref="CC18" dT="2022-08-03T10:04:51.24" personId="{A4D18608-17AD-4974-852A-824D125A1C70}" id="{0D6125DA-A68E-4357-849E-D0B7DB6A1A05}">
    <text>EEPS stopped sampling early</text>
  </threadedComment>
  <threadedComment ref="CD18" dT="2022-08-03T10:04:51.24" personId="{A4D18608-17AD-4974-852A-824D125A1C70}" id="{1FF5C385-582C-4532-8A01-4ABCF7EEEF1A}">
    <text>EEPS stopped sampling early</text>
  </threadedComment>
  <threadedComment ref="CE18" dT="2022-08-03T10:04:51.24" personId="{A4D18608-17AD-4974-852A-824D125A1C70}" id="{4163AF59-1CCF-4FAD-84F5-37B723C7EC60}">
    <text>EEPS stopped sampling early</text>
  </threadedComment>
  <threadedComment ref="CF18" dT="2022-08-03T10:04:51.24" personId="{A4D18608-17AD-4974-852A-824D125A1C70}" id="{D925D34F-50DF-438B-9B05-89AA8F79AE54}">
    <text>EEPS stopped sampling early</text>
  </threadedComment>
  <threadedComment ref="CG18" dT="2022-08-03T10:04:51.24" personId="{A4D18608-17AD-4974-852A-824D125A1C70}" id="{DBE17CD7-60F2-4367-86F7-C05ED477A25A}">
    <text>EEPS stopped sampling early</text>
  </threadedComment>
  <threadedComment ref="CH18" dT="2022-08-03T10:04:51.24" personId="{A4D18608-17AD-4974-852A-824D125A1C70}" id="{C39596AD-BED6-4AD9-838E-A7949DCC84BD}">
    <text>EEPS stopped sampling early</text>
  </threadedComment>
  <threadedComment ref="AE25" dT="2022-08-05T08:26:05.99" personId="{A4D18608-17AD-4974-852A-824D125A1C70}" id="{9FF27CDE-90E7-416B-8E4E-5139C8D8D349}">
    <text>Not calculated for background samples</text>
  </threadedComment>
  <threadedComment ref="AL25" dT="2022-08-05T08:26:05.99" personId="{A4D18608-17AD-4974-852A-824D125A1C70}" id="{D8629C9C-8D54-459C-8BD4-BEDE40505A8F}">
    <text>Not calculated for background samples</text>
  </threadedComment>
  <threadedComment ref="AT25" dT="2022-08-05T08:26:05.99" personId="{A4D18608-17AD-4974-852A-824D125A1C70}" id="{93EB644E-93F5-445A-900A-ED6470C53792}">
    <text>Not calculated for background samples</text>
  </threadedComment>
  <threadedComment ref="AU25" dT="2022-08-05T08:26:05.99" personId="{A4D18608-17AD-4974-852A-824D125A1C70}" id="{7F721CA7-DA04-4644-B0BE-0E5FBA551ACF}">
    <text>Not calculated for background samples</text>
  </threadedComment>
  <threadedComment ref="AV25" dT="2022-08-05T08:26:05.99" personId="{A4D18608-17AD-4974-852A-824D125A1C70}" id="{69378A3C-6673-4BE9-AD60-B37B0DBDFAE0}">
    <text>Not calculated for background samples</text>
  </threadedComment>
  <threadedComment ref="AW25" dT="2022-08-05T08:26:05.99" personId="{A4D18608-17AD-4974-852A-824D125A1C70}" id="{E2028A45-A689-4A67-BB57-678B52B7A388}">
    <text>Not calculated for background samples</text>
  </threadedComment>
  <threadedComment ref="AX25" dT="2022-08-05T08:26:05.99" personId="{A4D18608-17AD-4974-852A-824D125A1C70}" id="{A3454907-F47C-4C7D-A482-1E5DE4571D8C}">
    <text>Not calculated for background samples</text>
  </threadedComment>
</ThreadedComments>
</file>

<file path=xl/threadedComments/threadedComment5.xml><?xml version="1.0" encoding="utf-8"?>
<ThreadedComments xmlns="http://schemas.microsoft.com/office/spreadsheetml/2018/threadedcomments" xmlns:x="http://schemas.openxmlformats.org/spreadsheetml/2006/main">
  <threadedComment ref="M2" dT="2022-08-03T09:56:42.24" personId="{A4D18608-17AD-4974-852A-824D125A1C70}" id="{56FA8BC3-C6ED-4ED6-B4AA-9AF61C9BAC38}">
    <text>Methane analyzer not working</text>
  </threadedComment>
  <threadedComment ref="P2" dT="2022-08-03T09:56:42.24" personId="{A4D18608-17AD-4974-852A-824D125A1C70}" id="{E90B9B37-6158-4C32-9C12-89DEF2675121}">
    <text>Methane analyzer not working</text>
  </threadedComment>
  <threadedComment ref="Q2" dT="2022-08-05T08:35:53.64" personId="{A4D18608-17AD-4974-852A-824D125A1C70}" id="{6B57223A-3701-4809-BDB3-B156A451C0C0}">
    <text>No MCE for background sample</text>
  </threadedComment>
  <threadedComment ref="R2" dT="2022-08-05T08:35:53.64" personId="{A4D18608-17AD-4974-852A-824D125A1C70}" id="{61F0F446-1D90-4398-8E57-00BCC06860DA}">
    <text>No MCE for background sample</text>
  </threadedComment>
  <threadedComment ref="M7" dT="2022-08-03T09:54:58.87" personId="{A4D18608-17AD-4974-852A-824D125A1C70}" id="{60C31987-6EB2-4EE5-AF2B-7CA64DB9AC73}">
    <text>No methane due to FID issue</text>
  </threadedComment>
  <threadedComment ref="P7" dT="2022-08-03T09:54:58.87" personId="{A4D18608-17AD-4974-852A-824D125A1C70}" id="{6231569E-8F4F-433A-A01B-395BEE0D8E7D}">
    <text>No methane due to FID issue</text>
  </threadedComment>
  <threadedComment ref="M8" dT="2022-08-03T09:54:58.87" personId="{A4D18608-17AD-4974-852A-824D125A1C70}" id="{934D2D77-A2A3-4132-BAE9-500C035BE34B}">
    <text>No methane due to FID issue</text>
  </threadedComment>
  <threadedComment ref="P8" dT="2022-08-03T09:54:58.87" personId="{A4D18608-17AD-4974-852A-824D125A1C70}" id="{9AFE1F98-ACD5-4732-A3BD-9FEE5AC50D60}">
    <text>No methane due to FID issue</text>
  </threadedComment>
  <threadedComment ref="P25" dT="2022-08-05T08:36:14.93" personId="{A4D18608-17AD-4974-852A-824D125A1C70}" id="{9F981CF1-A1C6-4356-A6E7-CF1F41CC918E}">
    <text>No CH4/THC for background sample</text>
  </threadedComment>
  <threadedComment ref="Q25" dT="2022-08-05T08:35:53.64" personId="{A4D18608-17AD-4974-852A-824D125A1C70}" id="{DBE5AC7E-43D4-437A-A08D-C905084DF94B}">
    <text>No MCE for background sample</text>
  </threadedComment>
  <threadedComment ref="R25" dT="2022-08-05T08:35:53.64" personId="{A4D18608-17AD-4974-852A-824D125A1C70}" id="{B4F9C912-EBD4-44F2-BC46-1EF4FA2B0046}">
    <text>No MCE for background sample</text>
  </threadedComment>
</ThreadedComments>
</file>

<file path=xl/threadedComments/threadedComment6.xml><?xml version="1.0" encoding="utf-8"?>
<ThreadedComments xmlns="http://schemas.microsoft.com/office/spreadsheetml/2018/threadedcomments" xmlns:x="http://schemas.openxmlformats.org/spreadsheetml/2006/main">
  <threadedComment ref="G5" dT="2022-08-03T12:11:33.90" personId="{A4D18608-17AD-4974-852A-824D125A1C70}" id="{83BFADAC-B82F-4120-98FC-A494D82794B8}">
    <text>Chimney CO2 failed post span</text>
  </threadedComment>
  <threadedComment ref="U5" dT="2022-08-03T12:25:56.72" personId="{A4D18608-17AD-4974-852A-824D125A1C70}" id="{321D3530-1FC4-4D5D-9EB2-5355A77A88F2}">
    <text>Failed span</text>
  </threadedComment>
  <threadedComment ref="S6" dT="2022-08-03T12:22:41.44" personId="{A4D18608-17AD-4974-852A-824D125A1C70}" id="{BBEFF642-F353-4D0D-A354-63CDED19D124}">
    <text>Failed post zero</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s://doi.org/10.1080/10962247.2022.2057615" TargetMode="External"/><Relationship Id="rId2" Type="http://schemas.openxmlformats.org/officeDocument/2006/relationships/hyperlink" Target="https://gcc02.safelinks.protection.outlook.com/?url=https%3A%2F%2Fdec.alaska.gov%2Fair%2Fanpms%2Fcommunities%2Ffbks-pm2-5-serious-sip%2F&amp;data=05%7C01%7CStrum.Madeleine%40epa.gov%7C17df03bd102f45d6a87d08db2bcd17e4%7C88b378b367484867acf976aacbeca6a7%7C0%7C0%7C638151932091191821%7CUnknown%7CTWFpbGZsb3d8eyJWIjoiMC4wLjAwMDAiLCJQIjoiV2luMzIiLCJBTiI6Ik1haWwiLCJXVCI6Mn0%3D%7C3000%7C%7C%7C&amp;sdata=oYmxobvpPHVpot4in90lvgKmFJvWn3X6o3lEKbIHXnE%3D&amp;reserved=0" TargetMode="External"/><Relationship Id="rId1" Type="http://schemas.openxmlformats.org/officeDocument/2006/relationships/hyperlink" Target="mailto:holder.amara@epa.gov" TargetMode="External"/><Relationship Id="rId5" Type="http://schemas.openxmlformats.org/officeDocument/2006/relationships/drawing" Target="../drawings/drawing5.xml"/><Relationship Id="rId4" Type="http://schemas.openxmlformats.org/officeDocument/2006/relationships/hyperlink" Target="https://doi.org/10.1080/10962247.2020.1726838"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gaftp.epa.gov/air/emismod/SPECIATE_supportingdata/v5_3/RWC_Princess_2021_SpeciatedEFs_20230629.xlsx" TargetMode="External"/><Relationship Id="rId13" Type="http://schemas.openxmlformats.org/officeDocument/2006/relationships/hyperlink" Target="https://gaftp.epa.gov/air/emismod/SPECIATE_supportingdata/v5_3/RWC_Princess_2021_SpeciatedEFs_20230629.xlsx" TargetMode="External"/><Relationship Id="rId18" Type="http://schemas.openxmlformats.org/officeDocument/2006/relationships/hyperlink" Target="https://gaftp.epa.gov/air/emismod/SPECIATE_supportingdata/v5_3/QSCORE%206-29-2023%20Catalytic%20Stove%20PM%20profile.docx" TargetMode="External"/><Relationship Id="rId3" Type="http://schemas.openxmlformats.org/officeDocument/2006/relationships/hyperlink" Target="https://gaftp.epa.gov/air/emismod/SPECIATE_supportingdata/v5_3/RWC_Princess_2021_SpeciatedEFs_20230629.xlsx" TargetMode="External"/><Relationship Id="rId21" Type="http://schemas.openxmlformats.org/officeDocument/2006/relationships/hyperlink" Target="https://gaftp.epa.gov/air/emismod/SPECIATE_supportingdata/v5_3/QSCORE%206-29-2023%20Catalytic%20Stove%20PM%20profile.docx" TargetMode="External"/><Relationship Id="rId7" Type="http://schemas.openxmlformats.org/officeDocument/2006/relationships/hyperlink" Target="https://gaftp.epa.gov/air/emismod/SPECIATE_supportingdata/v5_3/RWC_Princess_2021_SpeciatedEFs_20230629.xlsx" TargetMode="External"/><Relationship Id="rId12" Type="http://schemas.openxmlformats.org/officeDocument/2006/relationships/hyperlink" Target="https://gaftp.epa.gov/air/emismod/SPECIATE_supportingdata/v5_3/RWC_Princess_2021_SpeciatedEFs_20230629.xlsx" TargetMode="External"/><Relationship Id="rId17" Type="http://schemas.openxmlformats.org/officeDocument/2006/relationships/hyperlink" Target="https://gaftp.epa.gov/air/emismod/SPECIATE_supportingdata/v5_3/QSCORE%206-29-2023%20Catalytic%20Stove%20PM%20profile.docx" TargetMode="External"/><Relationship Id="rId25" Type="http://schemas.openxmlformats.org/officeDocument/2006/relationships/printerSettings" Target="../printerSettings/printerSettings10.bin"/><Relationship Id="rId2" Type="http://schemas.openxmlformats.org/officeDocument/2006/relationships/hyperlink" Target="https://gaftp.epa.gov/air/emismod/SPECIATE_supportingdata/v5_3/QSCORE%206-29-2023%20Catalytic%20Stove%20PM%20profile.docx" TargetMode="External"/><Relationship Id="rId16" Type="http://schemas.openxmlformats.org/officeDocument/2006/relationships/hyperlink" Target="https://gaftp.epa.gov/air/emismod/SPECIATE_supportingdata/v5_3/QSCORE%206-29-2023%20Catalytic%20Stove%20PM%20profile.docx" TargetMode="External"/><Relationship Id="rId20" Type="http://schemas.openxmlformats.org/officeDocument/2006/relationships/hyperlink" Target="https://gaftp.epa.gov/air/emismod/SPECIATE_supportingdata/v5_3/QSCORE%206-29-2023%20Catalytic%20Stove%20PM%20profile.docx" TargetMode="External"/><Relationship Id="rId1" Type="http://schemas.openxmlformats.org/officeDocument/2006/relationships/hyperlink" Target="https://gaftp.epa.gov/air/emismod/SPECIATE_supportingdata/v5_3/RWC_Princess_2021_SpeciatedEFs_20230629.xlsx" TargetMode="External"/><Relationship Id="rId6" Type="http://schemas.openxmlformats.org/officeDocument/2006/relationships/hyperlink" Target="https://gaftp.epa.gov/air/emismod/SPECIATE_supportingdata/v5_3/RWC_Princess_2021_SpeciatedEFs_20230629.xlsx" TargetMode="External"/><Relationship Id="rId11" Type="http://schemas.openxmlformats.org/officeDocument/2006/relationships/hyperlink" Target="https://gaftp.epa.gov/air/emismod/SPECIATE_supportingdata/v5_3/RWC_Princess_2021_SpeciatedEFs_20230629.xlsx" TargetMode="External"/><Relationship Id="rId24" Type="http://schemas.openxmlformats.org/officeDocument/2006/relationships/hyperlink" Target="https://gaftp.epa.gov/air/emismod/SPECIATE_supportingdata/v5_3/QSCORE%206-29-2023%20Catalytic%20Stove%20PM%20profile.docx" TargetMode="External"/><Relationship Id="rId5" Type="http://schemas.openxmlformats.org/officeDocument/2006/relationships/hyperlink" Target="https://gaftp.epa.gov/air/emismod/SPECIATE_supportingdata/v5_3/RWC_Princess_2021_SpeciatedEFs_20230629.xlsx" TargetMode="External"/><Relationship Id="rId15" Type="http://schemas.openxmlformats.org/officeDocument/2006/relationships/hyperlink" Target="https://gaftp.epa.gov/air/emismod/SPECIATE_supportingdata/v5_3/QSCORE%206-29-2023%20Catalytic%20Stove%20PM%20profile.docx" TargetMode="External"/><Relationship Id="rId23" Type="http://schemas.openxmlformats.org/officeDocument/2006/relationships/hyperlink" Target="https://gaftp.epa.gov/air/emismod/SPECIATE_supportingdata/v5_3/QSCORE%206-29-2023%20Catalytic%20Stove%20PM%20profile.docx" TargetMode="External"/><Relationship Id="rId10" Type="http://schemas.openxmlformats.org/officeDocument/2006/relationships/hyperlink" Target="https://gaftp.epa.gov/air/emismod/SPECIATE_supportingdata/v5_3/RWC_Princess_2021_SpeciatedEFs_20230629.xlsx" TargetMode="External"/><Relationship Id="rId19" Type="http://schemas.openxmlformats.org/officeDocument/2006/relationships/hyperlink" Target="https://gaftp.epa.gov/air/emismod/SPECIATE_supportingdata/v5_3/QSCORE%206-29-2023%20Catalytic%20Stove%20PM%20profile.docx" TargetMode="External"/><Relationship Id="rId4" Type="http://schemas.openxmlformats.org/officeDocument/2006/relationships/hyperlink" Target="https://gaftp.epa.gov/air/emismod/SPECIATE_supportingdata/v5_3/RWC_Princess_2021_SpeciatedEFs_20230629.xlsx" TargetMode="External"/><Relationship Id="rId9" Type="http://schemas.openxmlformats.org/officeDocument/2006/relationships/hyperlink" Target="https://gaftp.epa.gov/air/emismod/SPECIATE_supportingdata/v5_3/RWC_Princess_2021_SpeciatedEFs_20230629.xlsx" TargetMode="External"/><Relationship Id="rId14" Type="http://schemas.openxmlformats.org/officeDocument/2006/relationships/hyperlink" Target="https://gaftp.epa.gov/air/emismod/SPECIATE_supportingdata/v5_3/QSCORE%206-29-2023%20Catalytic%20Stove%20PM%20profile.docx" TargetMode="External"/><Relationship Id="rId22" Type="http://schemas.openxmlformats.org/officeDocument/2006/relationships/hyperlink" Target="https://gaftp.epa.gov/air/emismod/SPECIATE_supportingdata/v5_3/QSCORE%206-29-2023%20Catalytic%20Stove%20PM%20profile.docx"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microsoft.com/office/2017/10/relationships/threadedComment" Target="../threadedComments/threadedComment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454E1-5BD9-4048-87EC-F39FAE1A8CB8}">
  <dimension ref="A1:A24"/>
  <sheetViews>
    <sheetView workbookViewId="0">
      <selection activeCell="A7" sqref="A7"/>
    </sheetView>
  </sheetViews>
  <sheetFormatPr defaultRowHeight="15"/>
  <cols>
    <col min="1" max="1" width="117" customWidth="1"/>
  </cols>
  <sheetData>
    <row r="1" spans="1:1" ht="18.75">
      <c r="A1" s="171" t="s">
        <v>0</v>
      </c>
    </row>
    <row r="2" spans="1:1">
      <c r="A2" t="s">
        <v>1</v>
      </c>
    </row>
    <row r="3" spans="1:1">
      <c r="A3" t="s">
        <v>2</v>
      </c>
    </row>
    <row r="5" spans="1:1">
      <c r="A5" t="s">
        <v>3</v>
      </c>
    </row>
    <row r="6" spans="1:1">
      <c r="A6" t="s">
        <v>4</v>
      </c>
    </row>
    <row r="7" spans="1:1">
      <c r="A7" t="s">
        <v>5</v>
      </c>
    </row>
    <row r="8" spans="1:1">
      <c r="A8" t="s">
        <v>6</v>
      </c>
    </row>
    <row r="9" spans="1:1">
      <c r="A9" t="s">
        <v>7</v>
      </c>
    </row>
    <row r="10" spans="1:1">
      <c r="A10" t="s">
        <v>8</v>
      </c>
    </row>
    <row r="11" spans="1:1">
      <c r="A11" t="s">
        <v>9</v>
      </c>
    </row>
    <row r="12" spans="1:1">
      <c r="A12" t="s">
        <v>10</v>
      </c>
    </row>
    <row r="13" spans="1:1">
      <c r="A13" t="s">
        <v>11</v>
      </c>
    </row>
    <row r="16" spans="1:1">
      <c r="A16" t="s">
        <v>12</v>
      </c>
    </row>
    <row r="17" spans="1:1">
      <c r="A17" t="s">
        <v>13</v>
      </c>
    </row>
    <row r="24" spans="1:1" ht="60">
      <c r="A24" s="20" t="s">
        <v>14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09EE-E212-429E-B51B-1D4944926784}">
  <dimension ref="A1:Z139"/>
  <sheetViews>
    <sheetView zoomScale="90" zoomScaleNormal="90" workbookViewId="0">
      <pane xSplit="4" ySplit="11" topLeftCell="E93" activePane="bottomRight" state="frozen"/>
      <selection pane="topRight" activeCell="C1" sqref="C1"/>
      <selection pane="bottomLeft" activeCell="A6" sqref="A6"/>
      <selection pane="bottomRight" activeCell="E101" sqref="E101"/>
    </sheetView>
  </sheetViews>
  <sheetFormatPr defaultRowHeight="15"/>
  <cols>
    <col min="1" max="3" width="14" customWidth="1"/>
    <col min="4" max="4" width="18.42578125" bestFit="1" customWidth="1"/>
    <col min="5" max="5" width="18.140625" bestFit="1" customWidth="1"/>
    <col min="6" max="6" width="15.5703125" bestFit="1" customWidth="1"/>
    <col min="7" max="7" width="18.140625" bestFit="1" customWidth="1"/>
    <col min="8" max="8" width="15.5703125" bestFit="1" customWidth="1"/>
    <col min="9" max="9" width="18.140625" bestFit="1" customWidth="1"/>
    <col min="10" max="10" width="15.140625" bestFit="1" customWidth="1"/>
    <col min="11" max="11" width="18.140625" bestFit="1" customWidth="1"/>
    <col min="12" max="12" width="15.140625" bestFit="1" customWidth="1"/>
    <col min="13" max="13" width="18.140625" bestFit="1" customWidth="1"/>
    <col min="14" max="14" width="15.140625" bestFit="1" customWidth="1"/>
    <col min="15" max="15" width="18.140625" bestFit="1" customWidth="1"/>
    <col min="16" max="16" width="15.5703125" bestFit="1" customWidth="1"/>
    <col min="17" max="17" width="16.5703125" bestFit="1" customWidth="1"/>
    <col min="18" max="18" width="14.140625" bestFit="1" customWidth="1"/>
    <col min="19" max="19" width="16.5703125" bestFit="1" customWidth="1"/>
    <col min="20" max="20" width="13.7109375" bestFit="1" customWidth="1"/>
    <col min="21" max="21" width="16.5703125" bestFit="1" customWidth="1"/>
    <col min="22" max="22" width="13.7109375" bestFit="1" customWidth="1"/>
    <col min="23" max="23" width="16.5703125" bestFit="1" customWidth="1"/>
    <col min="24" max="24" width="13.7109375" bestFit="1" customWidth="1"/>
    <col min="25" max="25" width="16.5703125" bestFit="1" customWidth="1"/>
    <col min="26" max="26" width="14.140625" bestFit="1" customWidth="1"/>
  </cols>
  <sheetData>
    <row r="1" spans="1:26">
      <c r="D1" s="182" t="s">
        <v>31</v>
      </c>
      <c r="E1" s="197" t="s">
        <v>430</v>
      </c>
      <c r="F1" s="183" t="s">
        <v>432</v>
      </c>
      <c r="G1" s="183" t="s">
        <v>434</v>
      </c>
      <c r="H1" s="183" t="s">
        <v>436</v>
      </c>
      <c r="I1" s="183" t="s">
        <v>438</v>
      </c>
      <c r="J1" s="183" t="s">
        <v>440</v>
      </c>
      <c r="K1" s="183" t="s">
        <v>442</v>
      </c>
      <c r="L1" s="183" t="s">
        <v>444</v>
      </c>
      <c r="M1" s="183" t="s">
        <v>446</v>
      </c>
      <c r="N1" s="183" t="s">
        <v>448</v>
      </c>
      <c r="O1" s="183" t="s">
        <v>450</v>
      </c>
      <c r="P1" s="183" t="s">
        <v>452</v>
      </c>
      <c r="Q1" s="197" t="s">
        <v>454</v>
      </c>
      <c r="R1" s="197" t="s">
        <v>457</v>
      </c>
      <c r="S1" s="183" t="s">
        <v>459</v>
      </c>
      <c r="T1" s="183" t="s">
        <v>461</v>
      </c>
      <c r="U1" s="197" t="s">
        <v>463</v>
      </c>
      <c r="V1" s="183" t="s">
        <v>465</v>
      </c>
      <c r="W1" s="183" t="s">
        <v>467</v>
      </c>
      <c r="X1" s="183" t="s">
        <v>469</v>
      </c>
      <c r="Y1" s="183" t="s">
        <v>471</v>
      </c>
      <c r="Z1" s="184" t="s">
        <v>473</v>
      </c>
    </row>
    <row r="2" spans="1:26" ht="15.75" thickBot="1">
      <c r="D2" s="185" t="s">
        <v>33</v>
      </c>
      <c r="E2" s="198" t="s">
        <v>657</v>
      </c>
      <c r="F2" s="186" t="s">
        <v>658</v>
      </c>
      <c r="G2" s="186" t="s">
        <v>657</v>
      </c>
      <c r="H2" s="186" t="s">
        <v>658</v>
      </c>
      <c r="I2" s="186" t="s">
        <v>657</v>
      </c>
      <c r="J2" s="186" t="s">
        <v>659</v>
      </c>
      <c r="K2" s="186" t="s">
        <v>657</v>
      </c>
      <c r="L2" s="186" t="s">
        <v>659</v>
      </c>
      <c r="M2" s="186" t="s">
        <v>657</v>
      </c>
      <c r="N2" s="186" t="s">
        <v>659</v>
      </c>
      <c r="O2" s="186" t="s">
        <v>657</v>
      </c>
      <c r="P2" s="186" t="s">
        <v>658</v>
      </c>
      <c r="Q2" s="198" t="s">
        <v>660</v>
      </c>
      <c r="R2" s="198" t="s">
        <v>661</v>
      </c>
      <c r="S2" s="186" t="s">
        <v>660</v>
      </c>
      <c r="T2" s="186" t="s">
        <v>662</v>
      </c>
      <c r="U2" s="198" t="s">
        <v>660</v>
      </c>
      <c r="V2" s="186" t="s">
        <v>662</v>
      </c>
      <c r="W2" s="186" t="s">
        <v>660</v>
      </c>
      <c r="X2" s="186" t="s">
        <v>662</v>
      </c>
      <c r="Y2" s="186" t="s">
        <v>660</v>
      </c>
      <c r="Z2" s="187" t="s">
        <v>661</v>
      </c>
    </row>
    <row r="3" spans="1:26">
      <c r="D3" s="182" t="s">
        <v>663</v>
      </c>
      <c r="E3" s="199">
        <v>0.7</v>
      </c>
      <c r="F3" s="193">
        <v>0.8721105832123105</v>
      </c>
      <c r="G3" s="193">
        <v>1.0192523219724612</v>
      </c>
      <c r="H3" s="193">
        <v>1.1028596503256871</v>
      </c>
      <c r="I3" s="193">
        <v>0.73858338259969292</v>
      </c>
      <c r="J3" s="193">
        <v>0.90708502322369111</v>
      </c>
      <c r="K3" s="193">
        <v>0.73383564198636253</v>
      </c>
      <c r="L3" s="193">
        <v>0.98131192247798338</v>
      </c>
      <c r="M3" s="193">
        <v>0.94617823544603008</v>
      </c>
      <c r="N3" s="193">
        <v>0.98479632572867226</v>
      </c>
      <c r="O3" s="193">
        <v>0.89752102757638974</v>
      </c>
      <c r="P3" s="193">
        <v>0.97198584942868227</v>
      </c>
      <c r="Q3" s="199">
        <v>0.7</v>
      </c>
      <c r="R3" s="199">
        <v>0.7</v>
      </c>
      <c r="S3" s="193">
        <v>0.73776668433590065</v>
      </c>
      <c r="T3" s="193">
        <v>1.1298101262620812</v>
      </c>
      <c r="U3" s="199">
        <v>0.7</v>
      </c>
      <c r="V3" s="193">
        <v>0.85383784927053297</v>
      </c>
      <c r="W3" s="193">
        <v>0.88066603908541419</v>
      </c>
      <c r="X3" s="193">
        <v>1.0037972110044771</v>
      </c>
      <c r="Y3" s="193">
        <v>1.1953299547520564</v>
      </c>
      <c r="Z3" s="194">
        <v>1.2286928253717286</v>
      </c>
    </row>
    <row r="4" spans="1:26">
      <c r="D4" s="250" t="s">
        <v>664</v>
      </c>
      <c r="E4" s="251">
        <f>E3+1</f>
        <v>1.7</v>
      </c>
      <c r="F4" s="252">
        <f t="shared" ref="F4:T4" si="0">F3+1</f>
        <v>1.8721105832123106</v>
      </c>
      <c r="G4" s="252">
        <f t="shared" si="0"/>
        <v>2.019252321972461</v>
      </c>
      <c r="H4" s="252">
        <f t="shared" si="0"/>
        <v>2.1028596503256871</v>
      </c>
      <c r="I4" s="252">
        <f t="shared" si="0"/>
        <v>1.738583382599693</v>
      </c>
      <c r="J4" s="252">
        <f t="shared" si="0"/>
        <v>1.9070850232236911</v>
      </c>
      <c r="K4" s="252">
        <f t="shared" si="0"/>
        <v>1.7338356419863625</v>
      </c>
      <c r="L4" s="252">
        <f t="shared" si="0"/>
        <v>1.9813119224779834</v>
      </c>
      <c r="M4" s="252">
        <f t="shared" si="0"/>
        <v>1.94617823544603</v>
      </c>
      <c r="N4" s="252">
        <f t="shared" si="0"/>
        <v>1.9847963257286723</v>
      </c>
      <c r="O4" s="252">
        <f t="shared" si="0"/>
        <v>1.8975210275763899</v>
      </c>
      <c r="P4" s="252">
        <f t="shared" si="0"/>
        <v>1.9719858494286822</v>
      </c>
      <c r="Q4" s="251">
        <f t="shared" si="0"/>
        <v>1.7</v>
      </c>
      <c r="R4" s="251">
        <f t="shared" si="0"/>
        <v>1.7</v>
      </c>
      <c r="S4" s="252">
        <f t="shared" si="0"/>
        <v>1.7377666843359005</v>
      </c>
      <c r="T4" s="252">
        <f t="shared" si="0"/>
        <v>2.1298101262620812</v>
      </c>
      <c r="U4" s="251">
        <f t="shared" ref="U4" si="1">U3+1</f>
        <v>1.7</v>
      </c>
      <c r="V4" s="252">
        <f t="shared" ref="V4" si="2">V3+1</f>
        <v>1.853837849270533</v>
      </c>
      <c r="W4" s="252">
        <f t="shared" ref="W4" si="3">W3+1</f>
        <v>1.8806660390854142</v>
      </c>
      <c r="X4" s="252">
        <f t="shared" ref="X4" si="4">X3+1</f>
        <v>2.0037972110044771</v>
      </c>
      <c r="Y4" s="252">
        <f t="shared" ref="Y4" si="5">Y3+1</f>
        <v>2.1953299547520562</v>
      </c>
      <c r="Z4" s="253">
        <f t="shared" ref="Z4" si="6">Z3+1</f>
        <v>2.2286928253717289</v>
      </c>
    </row>
    <row r="5" spans="1:26">
      <c r="D5" s="250" t="s">
        <v>665</v>
      </c>
      <c r="E5" s="251">
        <f>VLOOKUP(E1,'Data for SPECIATE'!$C$5:$E$26,3,FALSE)</f>
        <v>26.032399999999999</v>
      </c>
      <c r="F5" s="252">
        <f>VLOOKUP(F1,'Data for SPECIATE'!$C$5:$E$26,3,FALSE)</f>
        <v>25.4498</v>
      </c>
      <c r="G5" s="252">
        <f>VLOOKUP(G1,'Data for SPECIATE'!$C$5:$E$26,3,FALSE)</f>
        <v>26.9131</v>
      </c>
      <c r="H5" s="252">
        <f>VLOOKUP(H1,'Data for SPECIATE'!$C$5:$E$26,3,FALSE)</f>
        <v>25.328900000000001</v>
      </c>
      <c r="I5" s="252">
        <f>VLOOKUP(I1,'Data for SPECIATE'!$C$5:$E$26,3,FALSE)</f>
        <v>27.586200000000002</v>
      </c>
      <c r="J5" s="252">
        <f>VLOOKUP(J1,'Data for SPECIATE'!$C$5:$E$26,3,FALSE)</f>
        <v>26.437799999999999</v>
      </c>
      <c r="K5" s="252">
        <f>VLOOKUP(K1,'Data for SPECIATE'!$C$5:$E$26,3,FALSE)</f>
        <v>28.413599999999999</v>
      </c>
      <c r="L5" s="252">
        <f>VLOOKUP(L1,'Data for SPECIATE'!$C$5:$E$26,3,FALSE)</f>
        <v>26.5718</v>
      </c>
      <c r="M5" s="252">
        <f>VLOOKUP(M1,'Data for SPECIATE'!$C$5:$E$26,3,FALSE)</f>
        <v>32.406700000000001</v>
      </c>
      <c r="N5" s="252">
        <f>VLOOKUP(N1,'Data for SPECIATE'!$C$5:$E$26,3,FALSE)</f>
        <v>25.843699999999998</v>
      </c>
      <c r="O5" s="252">
        <f>VLOOKUP(O1,'Data for SPECIATE'!$C$5:$E$26,3,FALSE)</f>
        <v>30.000699999999998</v>
      </c>
      <c r="P5" s="252">
        <f>VLOOKUP(P1,'Data for SPECIATE'!$C$5:$E$26,3,FALSE)</f>
        <v>27.154399999999999</v>
      </c>
      <c r="Q5" s="251">
        <f>VLOOKUP(Q1,'Data for SPECIATE'!$C$5:$E$26,3,FALSE)</f>
        <v>28.802600000000002</v>
      </c>
      <c r="R5" s="251">
        <f>VLOOKUP(R1,'Data for SPECIATE'!$C$5:$E$26,3,FALSE)</f>
        <v>28.476600000000001</v>
      </c>
      <c r="S5" s="252">
        <f>VLOOKUP(S1,'Data for SPECIATE'!$C$5:$E$26,3,FALSE)</f>
        <v>29.592099999999999</v>
      </c>
      <c r="T5" s="252">
        <f>VLOOKUP(T1,'Data for SPECIATE'!$C$5:$E$26,3,FALSE)</f>
        <v>26.331800000000001</v>
      </c>
      <c r="U5" s="251">
        <f>VLOOKUP(U1,'Data for SPECIATE'!$C$5:$E$26,3,FALSE)</f>
        <v>27.829000000000001</v>
      </c>
      <c r="V5" s="252">
        <f>VLOOKUP(V1,'Data for SPECIATE'!$C$5:$E$26,3,FALSE)</f>
        <v>25.945</v>
      </c>
      <c r="W5" s="252">
        <f>VLOOKUP(W1,'Data for SPECIATE'!$C$5:$E$26,3,FALSE)</f>
        <v>29.562000000000001</v>
      </c>
      <c r="X5" s="252">
        <f>VLOOKUP(X1,'Data for SPECIATE'!$C$5:$E$26,3,FALSE)</f>
        <v>25.526499999999999</v>
      </c>
      <c r="Y5" s="252">
        <f>VLOOKUP(Y1,'Data for SPECIATE'!$C$5:$E$26,3,FALSE)</f>
        <v>29.490100000000002</v>
      </c>
      <c r="Z5" s="253">
        <f>VLOOKUP(Z1,'Data for SPECIATE'!$C$5:$E$26,3,FALSE)</f>
        <v>27.4787</v>
      </c>
    </row>
    <row r="6" spans="1:26">
      <c r="D6" s="250" t="s">
        <v>666</v>
      </c>
      <c r="E6" s="254">
        <f>VLOOKUP(E1,'Data for SPECIATE'!$C$5:$J$26,8,FALSE)*1000</f>
        <v>23141.270298905125</v>
      </c>
      <c r="F6" s="255">
        <f>VLOOKUP(F1,'Data for SPECIATE'!$C$5:$J$26,8,FALSE)*1000</f>
        <v>4810.6554047586396</v>
      </c>
      <c r="G6" s="255">
        <f>VLOOKUP(G1,'Data for SPECIATE'!$C$5:$J$26,8,FALSE)*1000</f>
        <v>25511.620205024126</v>
      </c>
      <c r="H6" s="255">
        <f>VLOOKUP(H1,'Data for SPECIATE'!$C$5:$J$26,8,FALSE)*1000</f>
        <v>3404.7903372420301</v>
      </c>
      <c r="I6" s="255">
        <f>VLOOKUP(I1,'Data for SPECIATE'!$C$5:$J$26,8,FALSE)*1000</f>
        <v>20345.209754122981</v>
      </c>
      <c r="J6" s="255">
        <f>VLOOKUP(J1,'Data for SPECIATE'!$C$5:$J$26,8,FALSE)*1000</f>
        <v>3701.2220633565021</v>
      </c>
      <c r="K6" s="255">
        <f>VLOOKUP(K1,'Data for SPECIATE'!$C$5:$J$26,8,FALSE)*1000</f>
        <v>30215.459569406536</v>
      </c>
      <c r="L6" s="255">
        <f>VLOOKUP(L1,'Data for SPECIATE'!$C$5:$J$26,8,FALSE)*1000</f>
        <v>1893.0613103945104</v>
      </c>
      <c r="M6" s="255">
        <f>VLOOKUP(M1,'Data for SPECIATE'!$C$5:$J$26,8,FALSE)*1000</f>
        <v>20408.923269462422</v>
      </c>
      <c r="N6" s="255">
        <f>VLOOKUP(N1,'Data for SPECIATE'!$C$5:$J$26,8,FALSE)*1000</f>
        <v>5802.920111658108</v>
      </c>
      <c r="O6" s="255">
        <f>VLOOKUP(O1,'Data for SPECIATE'!$C$5:$J$26,8,FALSE)*1000</f>
        <v>24070.333235224927</v>
      </c>
      <c r="P6" s="255">
        <f>VLOOKUP(P1,'Data for SPECIATE'!$C$5:$J$26,8,FALSE)*1000</f>
        <v>8507.0341329600906</v>
      </c>
      <c r="Q6" s="254">
        <f>VLOOKUP(Q1,'Data for SPECIATE'!$C$5:$J$26,8,FALSE)*1000</f>
        <v>6037.1347281525968</v>
      </c>
      <c r="R6" s="254">
        <f>VLOOKUP(R1,'Data for SPECIATE'!$C$5:$J$26,8,FALSE)*1000</f>
        <v>2698.4801672793938</v>
      </c>
      <c r="S6" s="255">
        <f>VLOOKUP(S1,'Data for SPECIATE'!$C$5:$J$26,8,FALSE)*1000</f>
        <v>26354.975576761277</v>
      </c>
      <c r="T6" s="255">
        <f>VLOOKUP(T1,'Data for SPECIATE'!$C$5:$J$26,8,FALSE)*1000</f>
        <v>318.13923706917063</v>
      </c>
      <c r="U6" s="254">
        <f>VLOOKUP(U1,'Data for SPECIATE'!$C$5:$J$26,8,FALSE)*1000</f>
        <v>24159.797760572183</v>
      </c>
      <c r="V6" s="255">
        <f>VLOOKUP(V1,'Data for SPECIATE'!$C$5:$J$26,8,FALSE)*1000</f>
        <v>487.07984155591123</v>
      </c>
      <c r="W6" s="255">
        <f>VLOOKUP(W1,'Data for SPECIATE'!$C$5:$J$26,8,FALSE)*1000</f>
        <v>10070.924802683912</v>
      </c>
      <c r="X6" s="255">
        <f>VLOOKUP(X1,'Data for SPECIATE'!$C$5:$J$26,8,FALSE)*1000</f>
        <v>443.00611281516655</v>
      </c>
      <c r="Y6" s="255">
        <f>VLOOKUP(Y1,'Data for SPECIATE'!$C$5:$J$26,8,FALSE)*1000</f>
        <v>7701.9141643854073</v>
      </c>
      <c r="Z6" s="256">
        <f>VLOOKUP(Z1,'Data for SPECIATE'!$C$5:$J$26,8,FALSE)*1000</f>
        <v>2676.8028183828519</v>
      </c>
    </row>
    <row r="7" spans="1:26">
      <c r="D7" s="250" t="s">
        <v>667</v>
      </c>
      <c r="E7" s="254">
        <f>VLOOKUP(E1,'Data for SPECIATE'!$C$5:$K$26,9,FALSE)*1000</f>
        <v>14415.290184349667</v>
      </c>
      <c r="F7" s="255">
        <f>VLOOKUP(F1,'Data for SPECIATE'!$C$5:$K$26,9,FALSE)*1000</f>
        <v>2484.3462340167412</v>
      </c>
      <c r="G7" s="255">
        <f>VLOOKUP(G1,'Data for SPECIATE'!$C$5:$K$26,9,FALSE)*1000</f>
        <v>11973.27588583636</v>
      </c>
      <c r="H7" s="255">
        <f>VLOOKUP(H1,'Data for SPECIATE'!$C$5:$K$26,9,FALSE)*1000</f>
        <v>1554.2868574087242</v>
      </c>
      <c r="I7" s="255">
        <f>VLOOKUP(I1,'Data for SPECIATE'!$C$5:$K$26,9,FALSE)*1000</f>
        <v>11137.217625286961</v>
      </c>
      <c r="J7" s="255">
        <f>VLOOKUP(J1,'Data for SPECIATE'!$C$5:$K$26,9,FALSE)*1000</f>
        <v>1902.3359073181846</v>
      </c>
      <c r="K7" s="255">
        <f>VLOOKUP(K1,'Data for SPECIATE'!$C$5:$K$26,9,FALSE)*1000</f>
        <v>16862.957797092084</v>
      </c>
      <c r="L7" s="255">
        <f>VLOOKUP(L1,'Data for SPECIATE'!$C$5:$K$26,9,FALSE)*1000</f>
        <v>915.16414256396843</v>
      </c>
      <c r="M7" s="255">
        <f>VLOOKUP(M1,'Data for SPECIATE'!$C$5:$K$26,9,FALSE)*1000</f>
        <v>9880.472875828611</v>
      </c>
      <c r="N7" s="255">
        <f>VLOOKUP(N1,'Data for SPECIATE'!$C$5:$K$26,9,FALSE)*1000</f>
        <v>2900.9244976903819</v>
      </c>
      <c r="O7" s="255">
        <f>VLOOKUP(O1,'Data for SPECIATE'!$C$5:$K$26,9,FALSE)*1000</f>
        <v>12252.957160987533</v>
      </c>
      <c r="P7" s="255">
        <f>VLOOKUP(P1,'Data for SPECIATE'!$C$5:$K$26,9,FALSE)*1000</f>
        <v>4262.3602413699446</v>
      </c>
      <c r="Q7" s="254">
        <f>VLOOKUP(Q1,'Data for SPECIATE'!$C$5:$K$26,9,FALSE)*1000</f>
        <v>7962.3323226919574</v>
      </c>
      <c r="R7" s="254">
        <f>VLOOKUP(R1,'Data for SPECIATE'!$C$5:$K$26,9,FALSE)*1000</f>
        <v>606.85524799489747</v>
      </c>
      <c r="S7" s="255">
        <f>VLOOKUP(S1,'Data for SPECIATE'!$C$5:$K$26,9,FALSE)*1000</f>
        <v>14281.103198761844</v>
      </c>
      <c r="T7" s="255">
        <f>VLOOKUP(T1,'Data for SPECIATE'!$C$5:$K$26,9,FALSE)*1000</f>
        <v>125.6443277702551</v>
      </c>
      <c r="U7" s="254">
        <f>VLOOKUP(U1,'Data for SPECIATE'!$C$5:$K$26,9,FALSE)*1000</f>
        <v>14909.203526382986</v>
      </c>
      <c r="V7" s="255">
        <f>VLOOKUP(V1,'Data for SPECIATE'!$C$5:$K$26,9,FALSE)*1000</f>
        <v>231.02736401151398</v>
      </c>
      <c r="W7" s="255">
        <f>VLOOKUP(W1,'Data for SPECIATE'!$C$5:$K$26,9,FALSE)*1000</f>
        <v>5002.9489069135388</v>
      </c>
      <c r="X7" s="255">
        <f>VLOOKUP(X1,'Data for SPECIATE'!$C$5:$K$26,9,FALSE)*1000</f>
        <v>200.79310685850055</v>
      </c>
      <c r="Y7" s="255">
        <f>VLOOKUP(Y1,'Data for SPECIATE'!$C$5:$K$26,9,FALSE)*1000</f>
        <v>2984.2874908345702</v>
      </c>
      <c r="Z7" s="256">
        <f>VLOOKUP(Z1,'Data for SPECIATE'!$C$5:$K$26,9,FALSE)*1000</f>
        <v>1090.7170312589974</v>
      </c>
    </row>
    <row r="8" spans="1:26">
      <c r="D8" s="250" t="s">
        <v>668</v>
      </c>
      <c r="E8" s="254">
        <f>VLOOKUP(E1,'Data for SPECIATE'!$C$5:$L$26,10,FALSE)</f>
        <v>13.620488827628778</v>
      </c>
      <c r="F8" s="255">
        <f>VLOOKUP(F1,'Data for SPECIATE'!$C$5:$L$26,10,FALSE)</f>
        <v>5.1083822512528299</v>
      </c>
      <c r="G8" s="255">
        <f>VLOOKUP(G1,'Data for SPECIATE'!$C$5:$L$26,10,FALSE)</f>
        <v>13.991452940596265</v>
      </c>
      <c r="H8" s="255">
        <f>VLOOKUP(H1,'Data for SPECIATE'!$C$5:$L$26,10,FALSE)</f>
        <v>4.4366171684933011</v>
      </c>
      <c r="I8" s="255">
        <f>VLOOKUP(I1,'Data for SPECIATE'!$C$5:$L$26,10,FALSE)</f>
        <v>10.075678156500425</v>
      </c>
      <c r="J8" s="255">
        <f>VLOOKUP(J1,'Data for SPECIATE'!$C$5:$L$26,10,FALSE)</f>
        <v>6.3653354217634019</v>
      </c>
      <c r="K8" s="255">
        <f>VLOOKUP(K1,'Data for SPECIATE'!$C$5:$L$26,10,FALSE)</f>
        <v>17.014277861767891</v>
      </c>
      <c r="L8" s="255">
        <f>VLOOKUP(L1,'Data for SPECIATE'!$C$5:$L$26,10,FALSE)</f>
        <v>2.952015832902247</v>
      </c>
      <c r="M8" s="255">
        <f>VLOOKUP(M1,'Data for SPECIATE'!$C$5:$L$26,10,FALSE)</f>
        <v>7.9729471326941326</v>
      </c>
      <c r="N8" s="255">
        <f>VLOOKUP(N1,'Data for SPECIATE'!$C$5:$L$26,10,FALSE)</f>
        <v>12.71812459328754</v>
      </c>
      <c r="O8" s="255">
        <f>VLOOKUP(O1,'Data for SPECIATE'!$C$5:$L$26,10,FALSE)</f>
        <v>13.046095382667385</v>
      </c>
      <c r="P8" s="255">
        <f>VLOOKUP(P1,'Data for SPECIATE'!$C$5:$L$26,10,FALSE)</f>
        <v>9.2727613550863435</v>
      </c>
      <c r="Q8" s="254">
        <f>VLOOKUP(Q1,'Data for SPECIATE'!$C$5:$L$26,10,FALSE)</f>
        <v>3.8982537685829488</v>
      </c>
      <c r="R8" s="257">
        <f>SUM('Data for SPECIATE'!M18:AZ18)</f>
        <v>0.6899521053956561</v>
      </c>
      <c r="S8" s="255">
        <f>VLOOKUP(S1,'Data for SPECIATE'!$C$5:$L$26,10,FALSE)</f>
        <v>12.41002909885691</v>
      </c>
      <c r="T8" s="255">
        <f>VLOOKUP(T1,'Data for SPECIATE'!$C$5:$L$26,10,FALSE)</f>
        <v>0.51168878775779858</v>
      </c>
      <c r="U8" s="254">
        <f>VLOOKUP(U1,'Data for SPECIATE'!$C$5:$L$26,10,FALSE)</f>
        <v>13.997343930143957</v>
      </c>
      <c r="V8" s="255">
        <f>VLOOKUP(V1,'Data for SPECIATE'!$C$5:$L$26,10,FALSE)</f>
        <v>0.70524896800412185</v>
      </c>
      <c r="W8" s="255">
        <f>VLOOKUP(W1,'Data for SPECIATE'!$C$5:$L$26,10,FALSE)</f>
        <v>6.5989711909565445</v>
      </c>
      <c r="X8" s="255">
        <f>VLOOKUP(X1,'Data for SPECIATE'!$C$5:$L$26,10,FALSE)</f>
        <v>0.69811283503735588</v>
      </c>
      <c r="Y8" s="255">
        <f>VLOOKUP(Y1,'Data for SPECIATE'!$C$5:$L$26,10,FALSE)</f>
        <v>3.0729072460308626</v>
      </c>
      <c r="Z8" s="256">
        <f>VLOOKUP(Z1,'Data for SPECIATE'!$C$5:$L$26,10,FALSE)</f>
        <v>2.5709549079201568</v>
      </c>
    </row>
    <row r="9" spans="1:26">
      <c r="D9" s="250" t="s">
        <v>669</v>
      </c>
      <c r="E9" s="251" t="s">
        <v>500</v>
      </c>
      <c r="F9" s="252" t="s">
        <v>500</v>
      </c>
      <c r="G9" s="252" t="s">
        <v>500</v>
      </c>
      <c r="H9" s="252" t="s">
        <v>500</v>
      </c>
      <c r="I9" s="252" t="s">
        <v>500</v>
      </c>
      <c r="J9" s="252" t="s">
        <v>500</v>
      </c>
      <c r="K9" s="252" t="s">
        <v>500</v>
      </c>
      <c r="L9" s="252" t="s">
        <v>500</v>
      </c>
      <c r="M9" s="252" t="s">
        <v>500</v>
      </c>
      <c r="N9" s="252" t="s">
        <v>500</v>
      </c>
      <c r="O9" s="252" t="s">
        <v>500</v>
      </c>
      <c r="P9" s="252" t="s">
        <v>500</v>
      </c>
      <c r="Q9" s="251" t="s">
        <v>506</v>
      </c>
      <c r="R9" s="251" t="s">
        <v>506</v>
      </c>
      <c r="S9" s="252" t="s">
        <v>506</v>
      </c>
      <c r="T9" s="252" t="s">
        <v>506</v>
      </c>
      <c r="U9" s="251" t="s">
        <v>506</v>
      </c>
      <c r="V9" s="252" t="s">
        <v>506</v>
      </c>
      <c r="W9" s="252" t="s">
        <v>506</v>
      </c>
      <c r="X9" s="252" t="s">
        <v>506</v>
      </c>
      <c r="Y9" s="252" t="s">
        <v>506</v>
      </c>
      <c r="Z9" s="253" t="s">
        <v>506</v>
      </c>
    </row>
    <row r="10" spans="1:26" ht="15.75" thickBot="1">
      <c r="D10" s="185" t="s">
        <v>670</v>
      </c>
      <c r="E10" s="200" t="s">
        <v>501</v>
      </c>
      <c r="F10" s="195" t="s">
        <v>504</v>
      </c>
      <c r="G10" s="195" t="s">
        <v>501</v>
      </c>
      <c r="H10" s="195" t="s">
        <v>504</v>
      </c>
      <c r="I10" s="195" t="s">
        <v>501</v>
      </c>
      <c r="J10" s="195" t="s">
        <v>505</v>
      </c>
      <c r="K10" s="195" t="s">
        <v>501</v>
      </c>
      <c r="L10" s="195" t="s">
        <v>505</v>
      </c>
      <c r="M10" s="195" t="s">
        <v>501</v>
      </c>
      <c r="N10" s="195" t="s">
        <v>505</v>
      </c>
      <c r="O10" s="195" t="s">
        <v>501</v>
      </c>
      <c r="P10" s="195" t="s">
        <v>504</v>
      </c>
      <c r="Q10" s="200" t="s">
        <v>501</v>
      </c>
      <c r="R10" s="200" t="s">
        <v>504</v>
      </c>
      <c r="S10" s="195" t="s">
        <v>501</v>
      </c>
      <c r="T10" s="195" t="s">
        <v>505</v>
      </c>
      <c r="U10" s="200" t="s">
        <v>501</v>
      </c>
      <c r="V10" s="195" t="s">
        <v>505</v>
      </c>
      <c r="W10" s="195" t="s">
        <v>501</v>
      </c>
      <c r="X10" s="195" t="s">
        <v>505</v>
      </c>
      <c r="Y10" s="195" t="s">
        <v>501</v>
      </c>
      <c r="Z10" s="196" t="s">
        <v>504</v>
      </c>
    </row>
    <row r="11" spans="1:26">
      <c r="A11" t="s">
        <v>602</v>
      </c>
      <c r="B11" t="s">
        <v>671</v>
      </c>
      <c r="C11" t="s">
        <v>672</v>
      </c>
      <c r="D11" t="s">
        <v>673</v>
      </c>
      <c r="E11" s="189">
        <f>SUM(E12:E104)</f>
        <v>0.99999961138858739</v>
      </c>
      <c r="F11" s="189">
        <f>SUM(F12:F104)</f>
        <v>1.0000000888822447</v>
      </c>
      <c r="G11" s="189">
        <f t="shared" ref="G11:Z11" si="7">SUM(G12:G104)</f>
        <v>1.000000000000006</v>
      </c>
      <c r="H11" s="189">
        <f t="shared" si="7"/>
        <v>1.0000001839052544</v>
      </c>
      <c r="I11" s="189">
        <f t="shared" si="7"/>
        <v>0.99999999999999911</v>
      </c>
      <c r="J11" s="189">
        <f t="shared" si="7"/>
        <v>0.99999999999999756</v>
      </c>
      <c r="K11" s="189">
        <f t="shared" si="7"/>
        <v>1.0000000000000004</v>
      </c>
      <c r="L11" s="189">
        <f t="shared" si="7"/>
        <v>1.0000001359947115</v>
      </c>
      <c r="M11" s="189">
        <f t="shared" si="7"/>
        <v>1.000000119180954</v>
      </c>
      <c r="N11" s="189">
        <f t="shared" si="7"/>
        <v>1.000000000000004</v>
      </c>
      <c r="O11" s="189">
        <f t="shared" si="7"/>
        <v>1.0000001005476011</v>
      </c>
      <c r="P11" s="189">
        <f t="shared" si="7"/>
        <v>0.99999999999999623</v>
      </c>
      <c r="Q11" s="189">
        <f t="shared" si="7"/>
        <v>0.99999815460451802</v>
      </c>
      <c r="R11" s="189">
        <f t="shared" si="7"/>
        <v>0.99999972051381758</v>
      </c>
      <c r="S11" s="189">
        <f t="shared" si="7"/>
        <v>1.0000000204648027</v>
      </c>
      <c r="T11" s="189">
        <f t="shared" si="7"/>
        <v>1.0000001697469034</v>
      </c>
      <c r="U11" s="189">
        <f>SUM(U12:U104)</f>
        <v>0.99999972092513878</v>
      </c>
      <c r="V11" s="189">
        <f t="shared" si="7"/>
        <v>1.0000000000000022</v>
      </c>
      <c r="W11" s="189">
        <f t="shared" si="7"/>
        <v>1.0000000897496581</v>
      </c>
      <c r="X11" s="189">
        <f t="shared" si="7"/>
        <v>1.0000000000000049</v>
      </c>
      <c r="Y11" s="189">
        <f t="shared" si="7"/>
        <v>1.0000001919270298</v>
      </c>
      <c r="Z11" s="189">
        <f t="shared" si="7"/>
        <v>1.0000002154262868</v>
      </c>
    </row>
    <row r="12" spans="1:26">
      <c r="A12">
        <v>626</v>
      </c>
      <c r="B12" t="str">
        <f>HLOOKUP(A12,'Data for SPECIATE'!$M$1:$AZ$2,2,FALSE)</f>
        <v>Teflon</v>
      </c>
      <c r="C12" s="191">
        <f>IFERROR(VLOOKUP(A12,Oxides!$A$2:$G$39,7,FALSE),0)</f>
        <v>0</v>
      </c>
      <c r="D12" t="s">
        <v>674</v>
      </c>
      <c r="E12" s="188" cm="1">
        <f t="array" ref="E12">SUMPRODUCT(('Data for SPECIATE'!$C$5:$C$26='PM Protocol'!E$1)*('Data for SPECIATE'!$M$1:$AZ$1='PM Protocol'!$A12)*'Data for SPECIATE'!$M$5:$AZ$26)/VLOOKUP(E$1,'Data for SPECIATE'!$C$5:$L$26,10,FALSE)*E106</f>
        <v>0.58087482351189257</v>
      </c>
      <c r="F12" s="188" cm="1">
        <f t="array" ref="F12">SUMPRODUCT(('Data for SPECIATE'!$C$5:$C$26='PM Protocol'!F$1)*('Data for SPECIATE'!$M$1:$AZ$1='PM Protocol'!$A12)*'Data for SPECIATE'!$M$5:$AZ$26)/VLOOKUP(F$1,'Data for SPECIATE'!$C$5:$L$26,10,FALSE)*F106</f>
        <v>0.51642573100523004</v>
      </c>
      <c r="G12" s="188" cm="1">
        <f t="array" ref="G12">SUMPRODUCT(('Data for SPECIATE'!$C$5:$C$26='PM Protocol'!G$1)*('Data for SPECIATE'!$M$1:$AZ$1='PM Protocol'!$A12)*'Data for SPECIATE'!$M$5:$AZ$26)/VLOOKUP(G$1,'Data for SPECIATE'!$C$5:$L$26,10,FALSE)*G106</f>
        <v>0.46932636146246814</v>
      </c>
      <c r="H12" s="188" cm="1">
        <f t="array" ref="H12">SUMPRODUCT(('Data for SPECIATE'!$C$5:$C$26='PM Protocol'!H$1)*('Data for SPECIATE'!$M$1:$AZ$1='PM Protocol'!$A12)*'Data for SPECIATE'!$M$5:$AZ$26)/VLOOKUP(H$1,'Data for SPECIATE'!$C$5:$L$26,10,FALSE)*H106</f>
        <v>0.45650002010630053</v>
      </c>
      <c r="I12" s="188" cm="1">
        <f t="array" ref="I12">SUMPRODUCT(('Data for SPECIATE'!$C$5:$C$26='PM Protocol'!I$1)*('Data for SPECIATE'!$M$1:$AZ$1='PM Protocol'!$A12)*'Data for SPECIATE'!$M$5:$AZ$26)/VLOOKUP(I$1,'Data for SPECIATE'!$C$5:$L$26,10,FALSE)*I106</f>
        <v>0.54741227836346062</v>
      </c>
      <c r="J12" s="188" cm="1">
        <f t="array" ref="J12">SUMPRODUCT(('Data for SPECIATE'!$C$5:$C$26='PM Protocol'!J$1)*('Data for SPECIATE'!$M$1:$AZ$1='PM Protocol'!$A12)*'Data for SPECIATE'!$M$5:$AZ$26)/VLOOKUP(J$1,'Data for SPECIATE'!$C$5:$L$26,10,FALSE)*J106</f>
        <v>0.513975080326044</v>
      </c>
      <c r="K12" s="188" cm="1">
        <f t="array" ref="K12">SUMPRODUCT(('Data for SPECIATE'!$C$5:$C$26='PM Protocol'!K$1)*('Data for SPECIATE'!$M$1:$AZ$1='PM Protocol'!$A12)*'Data for SPECIATE'!$M$5:$AZ$26)/VLOOKUP(K$1,'Data for SPECIATE'!$C$5:$L$26,10,FALSE)*K106</f>
        <v>0.55809039602250499</v>
      </c>
      <c r="L12" s="188" cm="1">
        <f t="array" ref="L12">SUMPRODUCT(('Data for SPECIATE'!$C$5:$C$26='PM Protocol'!L$1)*('Data for SPECIATE'!$M$1:$AZ$1='PM Protocol'!$A12)*'Data for SPECIATE'!$M$5:$AZ$26)/VLOOKUP(L$1,'Data for SPECIATE'!$C$5:$L$26,10,FALSE)*L106</f>
        <v>0.48343079938242989</v>
      </c>
      <c r="M12" s="188" cm="1">
        <f t="array" ref="M12">SUMPRODUCT(('Data for SPECIATE'!$C$5:$C$26='PM Protocol'!M$1)*('Data for SPECIATE'!$M$1:$AZ$1='PM Protocol'!$A12)*'Data for SPECIATE'!$M$5:$AZ$26)/VLOOKUP(M$1,'Data for SPECIATE'!$C$5:$L$26,10,FALSE)*M106</f>
        <v>0.48412514199671763</v>
      </c>
      <c r="N12" s="188" cm="1">
        <f t="array" ref="N12">SUMPRODUCT(('Data for SPECIATE'!$C$5:$C$26='PM Protocol'!N$1)*('Data for SPECIATE'!$M$1:$AZ$1='PM Protocol'!$A12)*'Data for SPECIATE'!$M$5:$AZ$26)/VLOOKUP(N$1,'Data for SPECIATE'!$C$5:$L$26,10,FALSE)*N106</f>
        <v>0.49990770885547853</v>
      </c>
      <c r="O12" s="188" cm="1">
        <f t="array" ref="O12">SUMPRODUCT(('Data for SPECIATE'!$C$5:$C$26='PM Protocol'!O$1)*('Data for SPECIATE'!$M$1:$AZ$1='PM Protocol'!$A12)*'Data for SPECIATE'!$M$5:$AZ$26)/VLOOKUP(O$1,'Data for SPECIATE'!$C$5:$L$26,10,FALSE)*O106</f>
        <v>0.5090480900802965</v>
      </c>
      <c r="P12" s="188" cm="1">
        <f t="array" ref="P12">SUMPRODUCT(('Data for SPECIATE'!$C$5:$C$26='PM Protocol'!P$1)*('Data for SPECIATE'!$M$1:$AZ$1='PM Protocol'!$A12)*'Data for SPECIATE'!$M$5:$AZ$26)/VLOOKUP(P$1,'Data for SPECIATE'!$C$5:$L$26,10,FALSE)*P106</f>
        <v>0.5010395132723916</v>
      </c>
      <c r="Q12" s="188" cm="1">
        <f t="array" ref="Q12">SUMPRODUCT(('Data for SPECIATE'!$C$5:$C$26='PM Protocol'!Q$1)*('Data for SPECIATE'!$M$1:$AZ$1='PM Protocol'!$A12)*'Data for SPECIATE'!$M$5:$AZ$26)/VLOOKUP(Q$1,'Data for SPECIATE'!$C$5:$L$26,10,FALSE)*Q106</f>
        <v>0.65111867731723438</v>
      </c>
      <c r="R12" s="188" cm="1">
        <f t="array" ref="R12">SUMPRODUCT(('Data for SPECIATE'!$C$5:$C$26='PM Protocol'!R$1)*('Data for SPECIATE'!$M$1:$AZ$1='PM Protocol'!$A12)*'Data for SPECIATE'!$M$5:$AZ$26)/SUMPRODUCT(('Data for SPECIATE'!$C$5:$C$26='PM Protocol'!R$1)*'Data for SPECIATE'!$M$5:$AZ$26)*R106</f>
        <v>0.51979919657889684</v>
      </c>
      <c r="S12" s="188" cm="1">
        <f t="array" ref="S12">SUMPRODUCT(('Data for SPECIATE'!$C$5:$C$26='PM Protocol'!S$1)*('Data for SPECIATE'!$M$1:$AZ$1='PM Protocol'!$A12)*'Data for SPECIATE'!$M$5:$AZ$26)/VLOOKUP(S$1,'Data for SPECIATE'!$C$5:$L$26,10,FALSE)*S106</f>
        <v>0.54187503066230613</v>
      </c>
      <c r="T12" s="188" cm="1">
        <f t="array" ref="T12">SUMPRODUCT(('Data for SPECIATE'!$C$5:$C$26='PM Protocol'!T$1)*('Data for SPECIATE'!$M$1:$AZ$1='PM Protocol'!$A12)*'Data for SPECIATE'!$M$5:$AZ$26)/VLOOKUP(T$1,'Data for SPECIATE'!$C$5:$L$26,10,FALSE)*T106</f>
        <v>0.39493502570680156</v>
      </c>
      <c r="U12" s="188" cm="1">
        <f t="array" ref="U12">SUMPRODUCT(('Data for SPECIATE'!$C$5:$C$26='PM Protocol'!U$1)*('Data for SPECIATE'!$M$1:$AZ$1='PM Protocol'!$A12)*'Data for SPECIATE'!$M$5:$AZ$26)/VLOOKUP(U$1,'Data for SPECIATE'!$C$5:$L$26,10,FALSE)*U106</f>
        <v>0.57837586523620865</v>
      </c>
      <c r="V12" s="188" cm="1">
        <f t="array" ref="V12">SUMPRODUCT(('Data for SPECIATE'!$C$5:$C$26='PM Protocol'!V$1)*('Data for SPECIATE'!$M$1:$AZ$1='PM Protocol'!$A12)*'Data for SPECIATE'!$M$5:$AZ$26)/VLOOKUP(V$1,'Data for SPECIATE'!$C$5:$L$26,10,FALSE)*V106</f>
        <v>0.47431107654451077</v>
      </c>
      <c r="W12" s="188" cm="1">
        <f t="array" ref="W12">SUMPRODUCT(('Data for SPECIATE'!$C$5:$C$26='PM Protocol'!W$1)*('Data for SPECIATE'!$M$1:$AZ$1='PM Protocol'!$A12)*'Data for SPECIATE'!$M$5:$AZ$26)/VLOOKUP(W$1,'Data for SPECIATE'!$C$5:$L$26,10,FALSE)*W106</f>
        <v>0.49677154828722858</v>
      </c>
      <c r="X12" s="188" cm="1">
        <f t="array" ref="X12">SUMPRODUCT(('Data for SPECIATE'!$C$5:$C$26='PM Protocol'!X$1)*('Data for SPECIATE'!$M$1:$AZ$1='PM Protocol'!$A12)*'Data for SPECIATE'!$M$5:$AZ$26)/VLOOKUP(X$1,'Data for SPECIATE'!$C$5:$L$26,10,FALSE)*X106</f>
        <v>0.45325132328879747</v>
      </c>
      <c r="Y12" s="188" cm="1">
        <f t="array" ref="Y12">SUMPRODUCT(('Data for SPECIATE'!$C$5:$C$26='PM Protocol'!Y$1)*('Data for SPECIATE'!$M$1:$AZ$1='PM Protocol'!$A12)*'Data for SPECIATE'!$M$5:$AZ$26)/VLOOKUP(Y$1,'Data for SPECIATE'!$C$5:$L$26,10,FALSE)*Y106</f>
        <v>0.3874734808957338</v>
      </c>
      <c r="Z12" s="188" cm="1">
        <f t="array" ref="Z12">SUMPRODUCT(('Data for SPECIATE'!$C$5:$C$26='PM Protocol'!Z$1)*('Data for SPECIATE'!$M$1:$AZ$1='PM Protocol'!$A12)*'Data for SPECIATE'!$M$5:$AZ$26)/VLOOKUP(Z$1,'Data for SPECIATE'!$C$5:$L$26,10,FALSE)*Z106</f>
        <v>0.40747006980437078</v>
      </c>
    </row>
    <row r="13" spans="1:26">
      <c r="A13">
        <v>797</v>
      </c>
      <c r="B13" t="str">
        <f>HLOOKUP(A13,'Data for SPECIATE'!$M$1:$AZ$2,2,FALSE)</f>
        <v>Teflon</v>
      </c>
      <c r="C13" s="191">
        <f>IFERROR(VLOOKUP(A13,Oxides!$A$2:$G$39,7,FALSE),0)</f>
        <v>0</v>
      </c>
      <c r="D13" t="s">
        <v>675</v>
      </c>
      <c r="E13" s="188" cm="1">
        <f t="array" ref="E13">SUMPRODUCT(('Data for SPECIATE'!$C$5:$C$26='PM Protocol'!E$1)*('Data for SPECIATE'!$M$1:$AZ$1='PM Protocol'!$A13)*'Data for SPECIATE'!$M$5:$AZ$26)/VLOOKUP(E$1,'Data for SPECIATE'!$C$5:$L$26,10,FALSE)</f>
        <v>3.3314979516149354E-2</v>
      </c>
      <c r="F13" s="188" cm="1">
        <f t="array" ref="F13">SUMPRODUCT(('Data for SPECIATE'!$C$5:$C$26='PM Protocol'!F$1)*('Data for SPECIATE'!$M$1:$AZ$1='PM Protocol'!$A13)*'Data for SPECIATE'!$M$5:$AZ$26)/VLOOKUP(F$1,'Data for SPECIATE'!$C$5:$L$26,10,FALSE)</f>
        <v>1.8899569097933989E-2</v>
      </c>
      <c r="G13" s="188" cm="1">
        <f t="array" ref="G13">SUMPRODUCT(('Data for SPECIATE'!$C$5:$C$26='PM Protocol'!G$1)*('Data for SPECIATE'!$M$1:$AZ$1='PM Protocol'!$A13)*'Data for SPECIATE'!$M$5:$AZ$26)/VLOOKUP(G$1,'Data for SPECIATE'!$C$5:$L$26,10,FALSE)</f>
        <v>4.0871966538273026E-2</v>
      </c>
      <c r="H13" s="188" cm="1">
        <f t="array" ref="H13">SUMPRODUCT(('Data for SPECIATE'!$C$5:$C$26='PM Protocol'!H$1)*('Data for SPECIATE'!$M$1:$AZ$1='PM Protocol'!$A13)*'Data for SPECIATE'!$M$5:$AZ$26)/VLOOKUP(H$1,'Data for SPECIATE'!$C$5:$L$26,10,FALSE)</f>
        <v>2.4904195345477911E-2</v>
      </c>
      <c r="I13" s="188" cm="1">
        <f t="array" ref="I13">SUMPRODUCT(('Data for SPECIATE'!$C$5:$C$26='PM Protocol'!I$1)*('Data for SPECIATE'!$M$1:$AZ$1='PM Protocol'!$A13)*'Data for SPECIATE'!$M$5:$AZ$26)/VLOOKUP(I$1,'Data for SPECIATE'!$C$5:$L$26,10,FALSE)</f>
        <v>3.8702643636175364E-2</v>
      </c>
      <c r="J13" s="188" cm="1">
        <f t="array" ref="J13">SUMPRODUCT(('Data for SPECIATE'!$C$5:$C$26='PM Protocol'!J$1)*('Data for SPECIATE'!$M$1:$AZ$1='PM Protocol'!$A13)*'Data for SPECIATE'!$M$5:$AZ$26)/VLOOKUP(J$1,'Data for SPECIATE'!$C$5:$L$26,10,FALSE)</f>
        <v>1.0702669653610542E-2</v>
      </c>
      <c r="K13" s="188" cm="1">
        <f t="array" ref="K13">SUMPRODUCT(('Data for SPECIATE'!$C$5:$C$26='PM Protocol'!K$1)*('Data for SPECIATE'!$M$1:$AZ$1='PM Protocol'!$A13)*'Data for SPECIATE'!$M$5:$AZ$26)/VLOOKUP(K$1,'Data for SPECIATE'!$C$5:$L$26,10,FALSE)</f>
        <v>2.6378205677938384E-2</v>
      </c>
      <c r="L13" s="188" cm="1">
        <f t="array" ref="L13">SUMPRODUCT(('Data for SPECIATE'!$C$5:$C$26='PM Protocol'!L$1)*('Data for SPECIATE'!$M$1:$AZ$1='PM Protocol'!$A13)*'Data for SPECIATE'!$M$5:$AZ$26)/VLOOKUP(L$1,'Data for SPECIATE'!$C$5:$L$26,10,FALSE)</f>
        <v>2.4885354497600772E-2</v>
      </c>
      <c r="M13" s="188" cm="1">
        <f t="array" ref="M13">SUMPRODUCT(('Data for SPECIATE'!$C$5:$C$26='PM Protocol'!M$1)*('Data for SPECIATE'!$M$1:$AZ$1='PM Protocol'!$A13)*'Data for SPECIATE'!$M$5:$AZ$26)/VLOOKUP(M$1,'Data for SPECIATE'!$C$5:$L$26,10,FALSE)</f>
        <v>4.3433994457004993E-2</v>
      </c>
      <c r="N13" s="188" cm="1">
        <f t="array" ref="N13">SUMPRODUCT(('Data for SPECIATE'!$C$5:$C$26='PM Protocol'!N$1)*('Data for SPECIATE'!$M$1:$AZ$1='PM Protocol'!$A13)*'Data for SPECIATE'!$M$5:$AZ$26)/VLOOKUP(N$1,'Data for SPECIATE'!$C$5:$L$26,10,FALSE)</f>
        <v>4.4807188785822216E-3</v>
      </c>
      <c r="O13" s="188" cm="1">
        <f t="array" ref="O13">SUMPRODUCT(('Data for SPECIATE'!$C$5:$C$26='PM Protocol'!O$1)*('Data for SPECIATE'!$M$1:$AZ$1='PM Protocol'!$A13)*'Data for SPECIATE'!$M$5:$AZ$26)/VLOOKUP(O$1,'Data for SPECIATE'!$C$5:$L$26,10,FALSE)</f>
        <v>2.599868217204155E-2</v>
      </c>
      <c r="P13" s="188" cm="1">
        <f t="array" ref="P13">SUMPRODUCT(('Data for SPECIATE'!$C$5:$C$26='PM Protocol'!P$1)*('Data for SPECIATE'!$M$1:$AZ$1='PM Protocol'!$A13)*'Data for SPECIATE'!$M$5:$AZ$26)/VLOOKUP(P$1,'Data for SPECIATE'!$C$5:$L$26,10,FALSE)</f>
        <v>6.0517925340580567E-3</v>
      </c>
      <c r="Q13" s="188" cm="1">
        <f t="array" ref="Q13">SUMPRODUCT(('Data for SPECIATE'!$C$5:$C$26='PM Protocol'!Q$1)*('Data for SPECIATE'!$M$1:$AZ$1='PM Protocol'!$A13)*'Data for SPECIATE'!$M$5:$AZ$26)/VLOOKUP(Q$1,'Data for SPECIATE'!$C$5:$L$26,10,FALSE)</f>
        <v>9.5387759536103345E-2</v>
      </c>
      <c r="R13" s="188" cm="1">
        <f t="array" ref="R13">SUMPRODUCT(('Data for SPECIATE'!$C$5:$C$26='PM Protocol'!R$1)*('Data for SPECIATE'!$M$1:$AZ$1='PM Protocol'!$A13)*'Data for SPECIATE'!$M$5:$AZ$26)/SUMPRODUCT(('Data for SPECIATE'!$C$5:$C$26='PM Protocol'!R$1)*'Data for SPECIATE'!$M$5:$AZ$26)</f>
        <v>0.1577038629685874</v>
      </c>
      <c r="S13" s="188" cm="1">
        <f t="array" ref="S13">SUMPRODUCT(('Data for SPECIATE'!$C$5:$C$26='PM Protocol'!S$1)*('Data for SPECIATE'!$M$1:$AZ$1='PM Protocol'!$A13)*'Data for SPECIATE'!$M$5:$AZ$26)/VLOOKUP(S$1,'Data for SPECIATE'!$C$5:$L$26,10,FALSE)</f>
        <v>5.0137860381511461E-2</v>
      </c>
      <c r="T13" s="188" cm="1">
        <f t="array" ref="T13">SUMPRODUCT(('Data for SPECIATE'!$C$5:$C$26='PM Protocol'!T$1)*('Data for SPECIATE'!$M$1:$AZ$1='PM Protocol'!$A13)*'Data for SPECIATE'!$M$5:$AZ$26)/VLOOKUP(T$1,'Data for SPECIATE'!$C$5:$L$26,10,FALSE)</f>
        <v>9.6329924944839607E-2</v>
      </c>
      <c r="U13" s="188" cm="1">
        <f t="array" ref="U13">SUMPRODUCT(('Data for SPECIATE'!$C$5:$C$26='PM Protocol'!U$1)*('Data for SPECIATE'!$M$1:$AZ$1='PM Protocol'!$A13)*'Data for SPECIATE'!$M$5:$AZ$26)/VLOOKUP(U$1,'Data for SPECIATE'!$C$5:$L$26,10,FALSE)</f>
        <v>3.3416797834614091E-2</v>
      </c>
      <c r="V13" s="188" cm="1">
        <f t="array" ref="V13">SUMPRODUCT(('Data for SPECIATE'!$C$5:$C$26='PM Protocol'!V$1)*('Data for SPECIATE'!$M$1:$AZ$1='PM Protocol'!$A13)*'Data for SPECIATE'!$M$5:$AZ$26)/VLOOKUP(V$1,'Data for SPECIATE'!$C$5:$L$26,10,FALSE)</f>
        <v>7.1814613510833653E-2</v>
      </c>
      <c r="W13" s="188" cm="1">
        <f t="array" ref="W13">SUMPRODUCT(('Data for SPECIATE'!$C$5:$C$26='PM Protocol'!W$1)*('Data for SPECIATE'!$M$1:$AZ$1='PM Protocol'!$A13)*'Data for SPECIATE'!$M$5:$AZ$26)/VLOOKUP(W$1,'Data for SPECIATE'!$C$5:$L$26,10,FALSE)</f>
        <v>5.3389561971809205E-2</v>
      </c>
      <c r="X13" s="188" cm="1">
        <f t="array" ref="X13">SUMPRODUCT(('Data for SPECIATE'!$C$5:$C$26='PM Protocol'!X$1)*('Data for SPECIATE'!$M$1:$AZ$1='PM Protocol'!$A13)*'Data for SPECIATE'!$M$5:$AZ$26)/VLOOKUP(X$1,'Data for SPECIATE'!$C$5:$L$26,10,FALSE)</f>
        <v>4.1479477858593385E-2</v>
      </c>
      <c r="Y13" s="188" cm="1">
        <f t="array" ref="Y13">SUMPRODUCT(('Data for SPECIATE'!$C$5:$C$26='PM Protocol'!Y$1)*('Data for SPECIATE'!$M$1:$AZ$1='PM Protocol'!$A13)*'Data for SPECIATE'!$M$5:$AZ$26)/VLOOKUP(Y$1,'Data for SPECIATE'!$C$5:$L$26,10,FALSE)</f>
        <v>0.13310927971196776</v>
      </c>
      <c r="Z13" s="188" cm="1">
        <f t="array" ref="Z13">SUMPRODUCT(('Data for SPECIATE'!$C$5:$C$26='PM Protocol'!Z$1)*('Data for SPECIATE'!$M$1:$AZ$1='PM Protocol'!$A13)*'Data for SPECIATE'!$M$5:$AZ$26)/VLOOKUP(Z$1,'Data for SPECIATE'!$C$5:$L$26,10,FALSE)</f>
        <v>7.2407992781369529E-2</v>
      </c>
    </row>
    <row r="14" spans="1:26" s="176" customFormat="1">
      <c r="A14" s="176">
        <v>699</v>
      </c>
      <c r="B14" s="176" t="s">
        <v>676</v>
      </c>
      <c r="C14" s="192">
        <f>IFERROR(VLOOKUP(A14,Oxides!$A$2:$G$39,7,FALSE),0)</f>
        <v>0</v>
      </c>
      <c r="D14" s="176" t="s">
        <v>677</v>
      </c>
      <c r="E14" s="190">
        <f>VLOOKUP(E$1,'Data for SPECIATE'!$C$5:$T$26,18,FALSE)*96/32/VLOOKUP(E$1,'Data for SPECIATE'!$C$5:$L$26,10,FALSE)</f>
        <v>2.6896810948131566E-3</v>
      </c>
      <c r="F14" s="190">
        <f>VLOOKUP(F$1,'Data for SPECIATE'!$C$5:$T$26,18,FALSE)*96/32/VLOOKUP(F$1,'Data for SPECIATE'!$C$5:$L$26,10,FALSE)</f>
        <v>4.7373825701937265E-3</v>
      </c>
      <c r="G14" s="190">
        <f>VLOOKUP(G$1,'Data for SPECIATE'!$C$5:$T$26,18,FALSE)*96/32/VLOOKUP(G$1,'Data for SPECIATE'!$C$5:$L$26,10,FALSE)</f>
        <v>6.0066438311842654E-3</v>
      </c>
      <c r="H14" s="190">
        <f>VLOOKUP(H$1,'Data for SPECIATE'!$C$5:$T$26,18,FALSE)*96/32/VLOOKUP(H$1,'Data for SPECIATE'!$C$5:$L$26,10,FALSE)</f>
        <v>4.6924947970555242E-3</v>
      </c>
      <c r="I14" s="190">
        <f>VLOOKUP(I$1,'Data for SPECIATE'!$C$5:$T$26,18,FALSE)*96/32/VLOOKUP(I$1,'Data for SPECIATE'!$C$5:$L$26,10,FALSE)</f>
        <v>3.5212944170426299E-3</v>
      </c>
      <c r="J14" s="190">
        <f>VLOOKUP(J$1,'Data for SPECIATE'!$C$5:$T$26,18,FALSE)*96/32/VLOOKUP(J$1,'Data for SPECIATE'!$C$5:$L$26,10,FALSE)</f>
        <v>3.7869739142936012E-3</v>
      </c>
      <c r="K14" s="190">
        <f>VLOOKUP(K$1,'Data for SPECIATE'!$C$5:$T$26,18,FALSE)*96/32/VLOOKUP(K$1,'Data for SPECIATE'!$C$5:$L$26,10,FALSE)</f>
        <v>2.7202648903041416E-3</v>
      </c>
      <c r="L14" s="190">
        <f>VLOOKUP(L$1,'Data for SPECIATE'!$C$5:$T$26,18,FALSE)*96/32/VLOOKUP(L$1,'Data for SPECIATE'!$C$5:$L$26,10,FALSE)</f>
        <v>5.678429870365446E-3</v>
      </c>
      <c r="M14" s="190">
        <f>VLOOKUP(M$1,'Data for SPECIATE'!$C$5:$T$26,18,FALSE)*96/32/VLOOKUP(M$1,'Data for SPECIATE'!$C$5:$L$26,10,FALSE)</f>
        <v>5.1346315067766482E-3</v>
      </c>
      <c r="N14" s="190">
        <f>VLOOKUP(N$1,'Data for SPECIATE'!$C$5:$T$26,18,FALSE)*96/32/VLOOKUP(N$1,'Data for SPECIATE'!$C$5:$L$26,10,FALSE)</f>
        <v>9.1358326001970698E-4</v>
      </c>
      <c r="O14" s="190">
        <f>VLOOKUP(O$1,'Data for SPECIATE'!$C$5:$T$26,18,FALSE)*96/32/VLOOKUP(O$1,'Data for SPECIATE'!$C$5:$L$26,10,FALSE)</f>
        <v>2.837693701495616E-3</v>
      </c>
      <c r="P14" s="190">
        <f>VLOOKUP(P$1,'Data for SPECIATE'!$C$5:$T$26,18,FALSE)*96/32/VLOOKUP(P$1,'Data for SPECIATE'!$C$5:$L$26,10,FALSE)</f>
        <v>1.9336502551781057E-3</v>
      </c>
      <c r="Q14" s="190">
        <f>VLOOKUP(Q$1,'Data for SPECIATE'!$C$5:$T$26,18,FALSE)*96/32/VLOOKUP(Q$1,'Data for SPECIATE'!$C$5:$L$26,10,FALSE)</f>
        <v>7.5979076879597787E-3</v>
      </c>
      <c r="R14" s="190" cm="1">
        <f t="array" ref="R14">VLOOKUP(R$1,'Data for SPECIATE'!$C$5:$T$26,18,FALSE)*96/32/SUMPRODUCT(('Data for SPECIATE'!$C$5:$C$26='PM Protocol'!R$1)*'Data for SPECIATE'!$M$5:$AZ$26)</f>
        <v>3.0303465967837895E-2</v>
      </c>
      <c r="S14" s="190">
        <f>VLOOKUP(S$1,'Data for SPECIATE'!$C$5:$T$26,18,FALSE)*96/32/VLOOKUP(S$1,'Data for SPECIATE'!$C$5:$L$26,10,FALSE)</f>
        <v>3.2380274410897486E-3</v>
      </c>
      <c r="T14" s="190">
        <f>VLOOKUP(T$1,'Data for SPECIATE'!$C$5:$T$26,18,FALSE)*96/32/VLOOKUP(T$1,'Data for SPECIATE'!$C$5:$L$26,10,FALSE)</f>
        <v>2.5319482057191291E-2</v>
      </c>
      <c r="U14" s="190">
        <f>VLOOKUP(U$1,'Data for SPECIATE'!$C$5:$T$26,18,FALSE)*96/32/VLOOKUP(U$1,'Data for SPECIATE'!$C$5:$L$26,10,FALSE)</f>
        <v>3.7470170639819986E-3</v>
      </c>
      <c r="V14" s="190">
        <f>VLOOKUP(V$1,'Data for SPECIATE'!$C$5:$T$26,18,FALSE)*96/32/VLOOKUP(V$1,'Data for SPECIATE'!$C$5:$L$26,10,FALSE)</f>
        <v>1.585601255480534E-2</v>
      </c>
      <c r="W14" s="190">
        <f>VLOOKUP(W$1,'Data for SPECIATE'!$C$5:$T$26,18,FALSE)*96/32/VLOOKUP(W$1,'Data for SPECIATE'!$C$5:$L$26,10,FALSE)</f>
        <v>2.7401772639995053E-3</v>
      </c>
      <c r="X14" s="190">
        <f>VLOOKUP(X$1,'Data for SPECIATE'!$C$5:$T$26,18,FALSE)*96/32/VLOOKUP(X$1,'Data for SPECIATE'!$C$5:$L$26,10,FALSE)</f>
        <v>1.9048874654443278E-2</v>
      </c>
      <c r="Y14" s="190">
        <f>VLOOKUP(Y$1,'Data for SPECIATE'!$C$5:$T$26,18,FALSE)*96/32/VLOOKUP(Y$1,'Data for SPECIATE'!$C$5:$L$26,10,FALSE)</f>
        <v>4.8561850434640386E-3</v>
      </c>
      <c r="Z14" s="190">
        <f>VLOOKUP(Z$1,'Data for SPECIATE'!$C$5:$T$26,18,FALSE)*96/32/VLOOKUP(Z$1,'Data for SPECIATE'!$C$5:$L$26,10,FALSE)</f>
        <v>8.5400204558963595E-3</v>
      </c>
    </row>
    <row r="15" spans="1:26">
      <c r="A15">
        <v>613</v>
      </c>
      <c r="B15" t="s">
        <v>20</v>
      </c>
      <c r="C15" s="191">
        <f>IFERROR(VLOOKUP(A15,Oxides!$A$2:$G$39,7,FALSE),0)</f>
        <v>0</v>
      </c>
      <c r="D15" t="s">
        <v>678</v>
      </c>
      <c r="E15" s="188" cm="1">
        <f t="array" ref="E15">SUMPRODUCT(('Data for SPECIATE'!$C$5:$C$26='PM Protocol'!E$1)*('Data for SPECIATE'!$M$1:$AZ$1='PM Protocol'!$A15)*'Data for SPECIATE'!$M$5:$AZ$26)/VLOOKUP(E$1,'Data for SPECIATE'!$C$5:$L$26,10,FALSE)</f>
        <v>0</v>
      </c>
      <c r="F15" s="188" cm="1">
        <f t="array" ref="F15">SUMPRODUCT(('Data for SPECIATE'!$C$5:$C$26='PM Protocol'!F$1)*('Data for SPECIATE'!$M$1:$AZ$1='PM Protocol'!$A15)*'Data for SPECIATE'!$M$5:$AZ$26)/VLOOKUP(F$1,'Data for SPECIATE'!$C$5:$L$26,10,FALSE)</f>
        <v>0</v>
      </c>
      <c r="G15" s="188" cm="1">
        <f t="array" ref="G15">SUMPRODUCT(('Data for SPECIATE'!$C$5:$C$26='PM Protocol'!G$1)*('Data for SPECIATE'!$M$1:$AZ$1='PM Protocol'!$A15)*'Data for SPECIATE'!$M$5:$AZ$26)/VLOOKUP(G$1,'Data for SPECIATE'!$C$5:$L$26,10,FALSE)</f>
        <v>0</v>
      </c>
      <c r="H15" s="188" cm="1">
        <f t="array" ref="H15">SUMPRODUCT(('Data for SPECIATE'!$C$5:$C$26='PM Protocol'!H$1)*('Data for SPECIATE'!$M$1:$AZ$1='PM Protocol'!$A15)*'Data for SPECIATE'!$M$5:$AZ$26)/VLOOKUP(H$1,'Data for SPECIATE'!$C$5:$L$26,10,FALSE)</f>
        <v>0</v>
      </c>
      <c r="I15" s="188" cm="1">
        <f t="array" ref="I15">SUMPRODUCT(('Data for SPECIATE'!$C$5:$C$26='PM Protocol'!I$1)*('Data for SPECIATE'!$M$1:$AZ$1='PM Protocol'!$A15)*'Data for SPECIATE'!$M$5:$AZ$26)/VLOOKUP(I$1,'Data for SPECIATE'!$C$5:$L$26,10,FALSE)</f>
        <v>0</v>
      </c>
      <c r="J15" s="188" cm="1">
        <f t="array" ref="J15">SUMPRODUCT(('Data for SPECIATE'!$C$5:$C$26='PM Protocol'!J$1)*('Data for SPECIATE'!$M$1:$AZ$1='PM Protocol'!$A15)*'Data for SPECIATE'!$M$5:$AZ$26)/VLOOKUP(J$1,'Data for SPECIATE'!$C$5:$L$26,10,FALSE)</f>
        <v>0</v>
      </c>
      <c r="K15" s="188" cm="1">
        <f t="array" ref="K15">SUMPRODUCT(('Data for SPECIATE'!$C$5:$C$26='PM Protocol'!K$1)*('Data for SPECIATE'!$M$1:$AZ$1='PM Protocol'!$A15)*'Data for SPECIATE'!$M$5:$AZ$26)/VLOOKUP(K$1,'Data for SPECIATE'!$C$5:$L$26,10,FALSE)</f>
        <v>0</v>
      </c>
      <c r="L15" s="188" cm="1">
        <f t="array" ref="L15">SUMPRODUCT(('Data for SPECIATE'!$C$5:$C$26='PM Protocol'!L$1)*('Data for SPECIATE'!$M$1:$AZ$1='PM Protocol'!$A15)*'Data for SPECIATE'!$M$5:$AZ$26)/VLOOKUP(L$1,'Data for SPECIATE'!$C$5:$L$26,10,FALSE)</f>
        <v>0</v>
      </c>
      <c r="M15" s="188" cm="1">
        <f t="array" ref="M15">SUMPRODUCT(('Data for SPECIATE'!$C$5:$C$26='PM Protocol'!M$1)*('Data for SPECIATE'!$M$1:$AZ$1='PM Protocol'!$A15)*'Data for SPECIATE'!$M$5:$AZ$26)/VLOOKUP(M$1,'Data for SPECIATE'!$C$5:$L$26,10,FALSE)</f>
        <v>0</v>
      </c>
      <c r="N15" s="188" cm="1">
        <f t="array" ref="N15">SUMPRODUCT(('Data for SPECIATE'!$C$5:$C$26='PM Protocol'!N$1)*('Data for SPECIATE'!$M$1:$AZ$1='PM Protocol'!$A15)*'Data for SPECIATE'!$M$5:$AZ$26)/VLOOKUP(N$1,'Data for SPECIATE'!$C$5:$L$26,10,FALSE)</f>
        <v>0</v>
      </c>
      <c r="O15" s="188" cm="1">
        <f t="array" ref="O15">SUMPRODUCT(('Data for SPECIATE'!$C$5:$C$26='PM Protocol'!O$1)*('Data for SPECIATE'!$M$1:$AZ$1='PM Protocol'!$A15)*'Data for SPECIATE'!$M$5:$AZ$26)/VLOOKUP(O$1,'Data for SPECIATE'!$C$5:$L$26,10,FALSE)</f>
        <v>0</v>
      </c>
      <c r="P15" s="188" cm="1">
        <f t="array" ref="P15">SUMPRODUCT(('Data for SPECIATE'!$C$5:$C$26='PM Protocol'!P$1)*('Data for SPECIATE'!$M$1:$AZ$1='PM Protocol'!$A15)*'Data for SPECIATE'!$M$5:$AZ$26)/VLOOKUP(P$1,'Data for SPECIATE'!$C$5:$L$26,10,FALSE)</f>
        <v>0</v>
      </c>
      <c r="Q15" s="188" cm="1">
        <f t="array" ref="Q15">SUMPRODUCT(('Data for SPECIATE'!$C$5:$C$26='PM Protocol'!Q$1)*('Data for SPECIATE'!$M$1:$AZ$1='PM Protocol'!$A15)*'Data for SPECIATE'!$M$5:$AZ$26)/VLOOKUP(Q$1,'Data for SPECIATE'!$C$5:$L$26,10,FALSE)</f>
        <v>0</v>
      </c>
      <c r="R15" s="188" cm="1">
        <f t="array" ref="R15">SUMPRODUCT(('Data for SPECIATE'!$C$5:$C$26='PM Protocol'!R$1)*('Data for SPECIATE'!$M$1:$AZ$1='PM Protocol'!$A15)*'Data for SPECIATE'!$M$5:$AZ$26)/SUMPRODUCT(('Data for SPECIATE'!$C$5:$C$26='PM Protocol'!R$1)*'Data for SPECIATE'!$M$5:$AZ$26)</f>
        <v>0</v>
      </c>
      <c r="S15" s="188" cm="1">
        <f t="array" ref="S15">SUMPRODUCT(('Data for SPECIATE'!$C$5:$C$26='PM Protocol'!S$1)*('Data for SPECIATE'!$M$1:$AZ$1='PM Protocol'!$A15)*'Data for SPECIATE'!$M$5:$AZ$26)/VLOOKUP(S$1,'Data for SPECIATE'!$C$5:$L$26,10,FALSE)</f>
        <v>0</v>
      </c>
      <c r="T15" s="188" cm="1">
        <f t="array" ref="T15">SUMPRODUCT(('Data for SPECIATE'!$C$5:$C$26='PM Protocol'!T$1)*('Data for SPECIATE'!$M$1:$AZ$1='PM Protocol'!$A15)*'Data for SPECIATE'!$M$5:$AZ$26)/VLOOKUP(T$1,'Data for SPECIATE'!$C$5:$L$26,10,FALSE)</f>
        <v>0</v>
      </c>
      <c r="U15" s="188" cm="1">
        <f t="array" ref="U15">SUMPRODUCT(('Data for SPECIATE'!$C$5:$C$26='PM Protocol'!U$1)*('Data for SPECIATE'!$M$1:$AZ$1='PM Protocol'!$A15)*'Data for SPECIATE'!$M$5:$AZ$26)/VLOOKUP(U$1,'Data for SPECIATE'!$C$5:$L$26,10,FALSE)</f>
        <v>0</v>
      </c>
      <c r="V15" s="188" cm="1">
        <f t="array" ref="V15">SUMPRODUCT(('Data for SPECIATE'!$C$5:$C$26='PM Protocol'!V$1)*('Data for SPECIATE'!$M$1:$AZ$1='PM Protocol'!$A15)*'Data for SPECIATE'!$M$5:$AZ$26)/VLOOKUP(V$1,'Data for SPECIATE'!$C$5:$L$26,10,FALSE)</f>
        <v>0</v>
      </c>
      <c r="W15" s="188" cm="1">
        <f t="array" ref="W15">SUMPRODUCT(('Data for SPECIATE'!$C$5:$C$26='PM Protocol'!W$1)*('Data for SPECIATE'!$M$1:$AZ$1='PM Protocol'!$A15)*'Data for SPECIATE'!$M$5:$AZ$26)/VLOOKUP(W$1,'Data for SPECIATE'!$C$5:$L$26,10,FALSE)</f>
        <v>0</v>
      </c>
      <c r="X15" s="188" cm="1">
        <f t="array" ref="X15">SUMPRODUCT(('Data for SPECIATE'!$C$5:$C$26='PM Protocol'!X$1)*('Data for SPECIATE'!$M$1:$AZ$1='PM Protocol'!$A15)*'Data for SPECIATE'!$M$5:$AZ$26)/VLOOKUP(X$1,'Data for SPECIATE'!$C$5:$L$26,10,FALSE)</f>
        <v>0</v>
      </c>
      <c r="Y15" s="188" cm="1">
        <f t="array" ref="Y15">SUMPRODUCT(('Data for SPECIATE'!$C$5:$C$26='PM Protocol'!Y$1)*('Data for SPECIATE'!$M$1:$AZ$1='PM Protocol'!$A15)*'Data for SPECIATE'!$M$5:$AZ$26)/VLOOKUP(Y$1,'Data for SPECIATE'!$C$5:$L$26,10,FALSE)</f>
        <v>0</v>
      </c>
      <c r="Z15" s="188" cm="1">
        <f t="array" ref="Z15">SUMPRODUCT(('Data for SPECIATE'!$C$5:$C$26='PM Protocol'!Z$1)*('Data for SPECIATE'!$M$1:$AZ$1='PM Protocol'!$A15)*'Data for SPECIATE'!$M$5:$AZ$26)/VLOOKUP(Z$1,'Data for SPECIATE'!$C$5:$L$26,10,FALSE)</f>
        <v>0</v>
      </c>
    </row>
    <row r="16" spans="1:26">
      <c r="A16">
        <v>784</v>
      </c>
      <c r="B16" t="s">
        <v>676</v>
      </c>
      <c r="C16" s="191">
        <f>IFERROR(VLOOKUP(A16,Oxides!$A$2:$G$39,7,FALSE),0)</f>
        <v>0</v>
      </c>
      <c r="D16" t="s">
        <v>679</v>
      </c>
      <c r="E16" s="188" cm="1">
        <f t="array" ref="E16">SUMPRODUCT(('Data for SPECIATE'!$C$5:$C$26='PM Protocol'!E$1)*('Data for SPECIATE'!$M$1:$AZ$1='PM Protocol'!$A16)*'Data for SPECIATE'!$M$5:$AZ$26)/VLOOKUP(E$1,'Data for SPECIATE'!$C$5:$L$26,10,FALSE)</f>
        <v>0</v>
      </c>
      <c r="F16" s="188" cm="1">
        <f t="array" ref="F16">SUMPRODUCT(('Data for SPECIATE'!$C$5:$C$26='PM Protocol'!F$1)*('Data for SPECIATE'!$M$1:$AZ$1='PM Protocol'!$A16)*'Data for SPECIATE'!$M$5:$AZ$26)/VLOOKUP(F$1,'Data for SPECIATE'!$C$5:$L$26,10,FALSE)</f>
        <v>0</v>
      </c>
      <c r="G16" s="188" cm="1">
        <f t="array" ref="G16">SUMPRODUCT(('Data for SPECIATE'!$C$5:$C$26='PM Protocol'!G$1)*('Data for SPECIATE'!$M$1:$AZ$1='PM Protocol'!$A16)*'Data for SPECIATE'!$M$5:$AZ$26)/VLOOKUP(G$1,'Data for SPECIATE'!$C$5:$L$26,10,FALSE)</f>
        <v>0</v>
      </c>
      <c r="H16" s="188" cm="1">
        <f t="array" ref="H16">SUMPRODUCT(('Data for SPECIATE'!$C$5:$C$26='PM Protocol'!H$1)*('Data for SPECIATE'!$M$1:$AZ$1='PM Protocol'!$A16)*'Data for SPECIATE'!$M$5:$AZ$26)/VLOOKUP(H$1,'Data for SPECIATE'!$C$5:$L$26,10,FALSE)</f>
        <v>0</v>
      </c>
      <c r="I16" s="188" cm="1">
        <f t="array" ref="I16">SUMPRODUCT(('Data for SPECIATE'!$C$5:$C$26='PM Protocol'!I$1)*('Data for SPECIATE'!$M$1:$AZ$1='PM Protocol'!$A16)*'Data for SPECIATE'!$M$5:$AZ$26)/VLOOKUP(I$1,'Data for SPECIATE'!$C$5:$L$26,10,FALSE)</f>
        <v>0</v>
      </c>
      <c r="J16" s="188" cm="1">
        <f t="array" ref="J16">SUMPRODUCT(('Data for SPECIATE'!$C$5:$C$26='PM Protocol'!J$1)*('Data for SPECIATE'!$M$1:$AZ$1='PM Protocol'!$A16)*'Data for SPECIATE'!$M$5:$AZ$26)/VLOOKUP(J$1,'Data for SPECIATE'!$C$5:$L$26,10,FALSE)</f>
        <v>0</v>
      </c>
      <c r="K16" s="188" cm="1">
        <f t="array" ref="K16">SUMPRODUCT(('Data for SPECIATE'!$C$5:$C$26='PM Protocol'!K$1)*('Data for SPECIATE'!$M$1:$AZ$1='PM Protocol'!$A16)*'Data for SPECIATE'!$M$5:$AZ$26)/VLOOKUP(K$1,'Data for SPECIATE'!$C$5:$L$26,10,FALSE)</f>
        <v>0</v>
      </c>
      <c r="L16" s="188" cm="1">
        <f t="array" ref="L16">SUMPRODUCT(('Data for SPECIATE'!$C$5:$C$26='PM Protocol'!L$1)*('Data for SPECIATE'!$M$1:$AZ$1='PM Protocol'!$A16)*'Data for SPECIATE'!$M$5:$AZ$26)/VLOOKUP(L$1,'Data for SPECIATE'!$C$5:$L$26,10,FALSE)</f>
        <v>0</v>
      </c>
      <c r="M16" s="188" cm="1">
        <f t="array" ref="M16">SUMPRODUCT(('Data for SPECIATE'!$C$5:$C$26='PM Protocol'!M$1)*('Data for SPECIATE'!$M$1:$AZ$1='PM Protocol'!$A16)*'Data for SPECIATE'!$M$5:$AZ$26)/VLOOKUP(M$1,'Data for SPECIATE'!$C$5:$L$26,10,FALSE)</f>
        <v>0</v>
      </c>
      <c r="N16" s="188" cm="1">
        <f t="array" ref="N16">SUMPRODUCT(('Data for SPECIATE'!$C$5:$C$26='PM Protocol'!N$1)*('Data for SPECIATE'!$M$1:$AZ$1='PM Protocol'!$A16)*'Data for SPECIATE'!$M$5:$AZ$26)/VLOOKUP(N$1,'Data for SPECIATE'!$C$5:$L$26,10,FALSE)</f>
        <v>0</v>
      </c>
      <c r="O16" s="188" cm="1">
        <f t="array" ref="O16">SUMPRODUCT(('Data for SPECIATE'!$C$5:$C$26='PM Protocol'!O$1)*('Data for SPECIATE'!$M$1:$AZ$1='PM Protocol'!$A16)*'Data for SPECIATE'!$M$5:$AZ$26)/VLOOKUP(O$1,'Data for SPECIATE'!$C$5:$L$26,10,FALSE)</f>
        <v>0</v>
      </c>
      <c r="P16" s="188" cm="1">
        <f t="array" ref="P16">SUMPRODUCT(('Data for SPECIATE'!$C$5:$C$26='PM Protocol'!P$1)*('Data for SPECIATE'!$M$1:$AZ$1='PM Protocol'!$A16)*'Data for SPECIATE'!$M$5:$AZ$26)/VLOOKUP(P$1,'Data for SPECIATE'!$C$5:$L$26,10,FALSE)</f>
        <v>0</v>
      </c>
      <c r="Q16" s="188" cm="1">
        <f t="array" ref="Q16">SUMPRODUCT(('Data for SPECIATE'!$C$5:$C$26='PM Protocol'!Q$1)*('Data for SPECIATE'!$M$1:$AZ$1='PM Protocol'!$A16)*'Data for SPECIATE'!$M$5:$AZ$26)/VLOOKUP(Q$1,'Data for SPECIATE'!$C$5:$L$26,10,FALSE)</f>
        <v>0</v>
      </c>
      <c r="R16" s="188" cm="1">
        <f t="array" ref="R16">SUMPRODUCT(('Data for SPECIATE'!$C$5:$C$26='PM Protocol'!R$1)*('Data for SPECIATE'!$M$1:$AZ$1='PM Protocol'!$A16)*'Data for SPECIATE'!$M$5:$AZ$26)/SUMPRODUCT(('Data for SPECIATE'!$C$5:$C$26='PM Protocol'!R$1)*'Data for SPECIATE'!$M$5:$AZ$26)</f>
        <v>0</v>
      </c>
      <c r="S16" s="188" cm="1">
        <f t="array" ref="S16">SUMPRODUCT(('Data for SPECIATE'!$C$5:$C$26='PM Protocol'!S$1)*('Data for SPECIATE'!$M$1:$AZ$1='PM Protocol'!$A16)*'Data for SPECIATE'!$M$5:$AZ$26)/VLOOKUP(S$1,'Data for SPECIATE'!$C$5:$L$26,10,FALSE)</f>
        <v>0</v>
      </c>
      <c r="T16" s="188" cm="1">
        <f t="array" ref="T16">SUMPRODUCT(('Data for SPECIATE'!$C$5:$C$26='PM Protocol'!T$1)*('Data for SPECIATE'!$M$1:$AZ$1='PM Protocol'!$A16)*'Data for SPECIATE'!$M$5:$AZ$26)/VLOOKUP(T$1,'Data for SPECIATE'!$C$5:$L$26,10,FALSE)</f>
        <v>0</v>
      </c>
      <c r="U16" s="188" cm="1">
        <f t="array" ref="U16">SUMPRODUCT(('Data for SPECIATE'!$C$5:$C$26='PM Protocol'!U$1)*('Data for SPECIATE'!$M$1:$AZ$1='PM Protocol'!$A16)*'Data for SPECIATE'!$M$5:$AZ$26)/VLOOKUP(U$1,'Data for SPECIATE'!$C$5:$L$26,10,FALSE)</f>
        <v>0</v>
      </c>
      <c r="V16" s="188" cm="1">
        <f t="array" ref="V16">SUMPRODUCT(('Data for SPECIATE'!$C$5:$C$26='PM Protocol'!V$1)*('Data for SPECIATE'!$M$1:$AZ$1='PM Protocol'!$A16)*'Data for SPECIATE'!$M$5:$AZ$26)/VLOOKUP(V$1,'Data for SPECIATE'!$C$5:$L$26,10,FALSE)</f>
        <v>0</v>
      </c>
      <c r="W16" s="188" cm="1">
        <f t="array" ref="W16">SUMPRODUCT(('Data for SPECIATE'!$C$5:$C$26='PM Protocol'!W$1)*('Data for SPECIATE'!$M$1:$AZ$1='PM Protocol'!$A16)*'Data for SPECIATE'!$M$5:$AZ$26)/VLOOKUP(W$1,'Data for SPECIATE'!$C$5:$L$26,10,FALSE)</f>
        <v>0</v>
      </c>
      <c r="X16" s="188" cm="1">
        <f t="array" ref="X16">SUMPRODUCT(('Data for SPECIATE'!$C$5:$C$26='PM Protocol'!X$1)*('Data for SPECIATE'!$M$1:$AZ$1='PM Protocol'!$A16)*'Data for SPECIATE'!$M$5:$AZ$26)/VLOOKUP(X$1,'Data for SPECIATE'!$C$5:$L$26,10,FALSE)</f>
        <v>0</v>
      </c>
      <c r="Y16" s="188" cm="1">
        <f t="array" ref="Y16">SUMPRODUCT(('Data for SPECIATE'!$C$5:$C$26='PM Protocol'!Y$1)*('Data for SPECIATE'!$M$1:$AZ$1='PM Protocol'!$A16)*'Data for SPECIATE'!$M$5:$AZ$26)/VLOOKUP(Y$1,'Data for SPECIATE'!$C$5:$L$26,10,FALSE)</f>
        <v>0</v>
      </c>
      <c r="Z16" s="188" cm="1">
        <f t="array" ref="Z16">SUMPRODUCT(('Data for SPECIATE'!$C$5:$C$26='PM Protocol'!Z$1)*('Data for SPECIATE'!$M$1:$AZ$1='PM Protocol'!$A16)*'Data for SPECIATE'!$M$5:$AZ$26)/VLOOKUP(Z$1,'Data for SPECIATE'!$C$5:$L$26,10,FALSE)</f>
        <v>0</v>
      </c>
    </row>
    <row r="17" spans="1:26" s="176" customFormat="1">
      <c r="A17" s="176">
        <v>2669</v>
      </c>
      <c r="B17" s="176" t="s">
        <v>676</v>
      </c>
      <c r="C17" s="192">
        <f>IFERROR(VLOOKUP(A17,Oxides!$A$2:$G$39,7,FALSE),0)</f>
        <v>0</v>
      </c>
      <c r="D17" s="176" t="s">
        <v>680</v>
      </c>
      <c r="E17" s="190">
        <f t="shared" ref="E17:Z17" si="8">E12*E3*E106</f>
        <v>0.37916387485577269</v>
      </c>
      <c r="F17" s="190">
        <f t="shared" si="8"/>
        <v>0.45038034545281497</v>
      </c>
      <c r="G17" s="190">
        <f t="shared" si="8"/>
        <v>0.4783619836835073</v>
      </c>
      <c r="H17" s="190">
        <f t="shared" si="8"/>
        <v>0.50345545254810375</v>
      </c>
      <c r="I17" s="190">
        <f t="shared" si="8"/>
        <v>0.40430961223028944</v>
      </c>
      <c r="J17" s="190">
        <f t="shared" si="8"/>
        <v>0.46621909767394815</v>
      </c>
      <c r="K17" s="190">
        <f t="shared" si="8"/>
        <v>0.40954662405159825</v>
      </c>
      <c r="L17" s="190">
        <f t="shared" si="8"/>
        <v>0.47439640712704056</v>
      </c>
      <c r="M17" s="190">
        <f t="shared" si="8"/>
        <v>0.45806867258951306</v>
      </c>
      <c r="N17" s="190">
        <f t="shared" si="8"/>
        <v>0.49230727488431408</v>
      </c>
      <c r="O17" s="190">
        <f t="shared" si="8"/>
        <v>0.4568813648946663</v>
      </c>
      <c r="P17" s="190">
        <f t="shared" si="8"/>
        <v>0.48700331690539905</v>
      </c>
      <c r="Q17" s="190">
        <f t="shared" si="8"/>
        <v>0.2250136760166502</v>
      </c>
      <c r="R17" s="190">
        <f t="shared" si="8"/>
        <v>0.23952233487987976</v>
      </c>
      <c r="S17" s="190">
        <f t="shared" si="8"/>
        <v>0.39977734469614412</v>
      </c>
      <c r="T17" s="190">
        <f t="shared" si="8"/>
        <v>0.44620159125911973</v>
      </c>
      <c r="U17" s="190">
        <f t="shared" si="8"/>
        <v>0.37945232270982165</v>
      </c>
      <c r="V17" s="190">
        <f t="shared" si="8"/>
        <v>0.40498474948195623</v>
      </c>
      <c r="W17" s="190">
        <f t="shared" si="8"/>
        <v>0.43748983176044215</v>
      </c>
      <c r="X17" s="190">
        <f t="shared" si="8"/>
        <v>0.45497241420138346</v>
      </c>
      <c r="Y17" s="190">
        <f t="shared" si="8"/>
        <v>0.46315865838671927</v>
      </c>
      <c r="Z17" s="190">
        <f t="shared" si="8"/>
        <v>0.50065555132234785</v>
      </c>
    </row>
    <row r="18" spans="1:26">
      <c r="A18">
        <v>488</v>
      </c>
      <c r="B18" t="str">
        <f>HLOOKUP(A18,'Data for SPECIATE'!$M$1:$AZ$2,2,FALSE)</f>
        <v>XRF</v>
      </c>
      <c r="C18" s="191">
        <f>IFERROR(VLOOKUP(A18,Oxides!$A$2:$G$39,7,FALSE),0)</f>
        <v>0.35799999999999998</v>
      </c>
      <c r="D18" t="s">
        <v>681</v>
      </c>
      <c r="E18" s="188" cm="1">
        <f t="array" ref="E18">SUMPRODUCT(('Data for SPECIATE'!$C$5:$C$26='PM Protocol'!E$1)*('Data for SPECIATE'!$M$1:$AZ$1='PM Protocol'!$A18)*'Data for SPECIATE'!$M$5:$AZ$26)/VLOOKUP(E$1,'Data for SPECIATE'!$C$5:$L$26,10,FALSE)</f>
        <v>1.529040465570734E-5</v>
      </c>
      <c r="F18" s="188" cm="1">
        <f t="array" ref="F18">SUMPRODUCT(('Data for SPECIATE'!$C$5:$C$26='PM Protocol'!F$1)*('Data for SPECIATE'!$M$1:$AZ$1='PM Protocol'!$A18)*'Data for SPECIATE'!$M$5:$AZ$26)/VLOOKUP(F$1,'Data for SPECIATE'!$C$5:$L$26,10,FALSE)</f>
        <v>1.3947934815829547E-6</v>
      </c>
      <c r="G18" s="188" cm="1">
        <f t="array" ref="G18">SUMPRODUCT(('Data for SPECIATE'!$C$5:$C$26='PM Protocol'!G$1)*('Data for SPECIATE'!$M$1:$AZ$1='PM Protocol'!$A18)*'Data for SPECIATE'!$M$5:$AZ$26)/VLOOKUP(G$1,'Data for SPECIATE'!$C$5:$L$26,10,FALSE)</f>
        <v>2.2470723594360269E-5</v>
      </c>
      <c r="H18" s="188" cm="1">
        <f t="array" ref="H18">SUMPRODUCT(('Data for SPECIATE'!$C$5:$C$26='PM Protocol'!H$1)*('Data for SPECIATE'!$M$1:$AZ$1='PM Protocol'!$A18)*'Data for SPECIATE'!$M$5:$AZ$26)/VLOOKUP(H$1,'Data for SPECIATE'!$C$5:$L$26,10,FALSE)</f>
        <v>0</v>
      </c>
      <c r="I18" s="188" cm="1">
        <f t="array" ref="I18">SUMPRODUCT(('Data for SPECIATE'!$C$5:$C$26='PM Protocol'!I$1)*('Data for SPECIATE'!$M$1:$AZ$1='PM Protocol'!$A18)*'Data for SPECIATE'!$M$5:$AZ$26)/VLOOKUP(I$1,'Data for SPECIATE'!$C$5:$L$26,10,FALSE)</f>
        <v>1.2026527445472946E-5</v>
      </c>
      <c r="J18" s="188" cm="1">
        <f t="array" ref="J18">SUMPRODUCT(('Data for SPECIATE'!$C$5:$C$26='PM Protocol'!J$1)*('Data for SPECIATE'!$M$1:$AZ$1='PM Protocol'!$A18)*'Data for SPECIATE'!$M$5:$AZ$26)/VLOOKUP(J$1,'Data for SPECIATE'!$C$5:$L$26,10,FALSE)</f>
        <v>0</v>
      </c>
      <c r="K18" s="188" cm="1">
        <f t="array" ref="K18">SUMPRODUCT(('Data for SPECIATE'!$C$5:$C$26='PM Protocol'!K$1)*('Data for SPECIATE'!$M$1:$AZ$1='PM Protocol'!$A18)*'Data for SPECIATE'!$M$5:$AZ$26)/VLOOKUP(K$1,'Data for SPECIATE'!$C$5:$L$26,10,FALSE)</f>
        <v>9.863500105685383E-6</v>
      </c>
      <c r="L18" s="188" cm="1">
        <f t="array" ref="L18">SUMPRODUCT(('Data for SPECIATE'!$C$5:$C$26='PM Protocol'!L$1)*('Data for SPECIATE'!$M$1:$AZ$1='PM Protocol'!$A18)*'Data for SPECIATE'!$M$5:$AZ$26)/VLOOKUP(L$1,'Data for SPECIATE'!$C$5:$L$26,10,FALSE)</f>
        <v>0</v>
      </c>
      <c r="M18" s="188" cm="1">
        <f t="array" ref="M18">SUMPRODUCT(('Data for SPECIATE'!$C$5:$C$26='PM Protocol'!M$1)*('Data for SPECIATE'!$M$1:$AZ$1='PM Protocol'!$A18)*'Data for SPECIATE'!$M$5:$AZ$26)/VLOOKUP(M$1,'Data for SPECIATE'!$C$5:$L$26,10,FALSE)</f>
        <v>6.9348052068866147E-5</v>
      </c>
      <c r="N18" s="188" cm="1">
        <f t="array" ref="N18">SUMPRODUCT(('Data for SPECIATE'!$C$5:$C$26='PM Protocol'!N$1)*('Data for SPECIATE'!$M$1:$AZ$1='PM Protocol'!$A18)*'Data for SPECIATE'!$M$5:$AZ$26)/VLOOKUP(N$1,'Data for SPECIATE'!$C$5:$L$26,10,FALSE)</f>
        <v>1.7693536084487163E-5</v>
      </c>
      <c r="O18" s="188" cm="1">
        <f t="array" ref="O18">SUMPRODUCT(('Data for SPECIATE'!$C$5:$C$26='PM Protocol'!O$1)*('Data for SPECIATE'!$M$1:$AZ$1='PM Protocol'!$A18)*'Data for SPECIATE'!$M$5:$AZ$26)/VLOOKUP(O$1,'Data for SPECIATE'!$C$5:$L$26,10,FALSE)</f>
        <v>3.5319034945722374E-5</v>
      </c>
      <c r="P18" s="188" cm="1">
        <f t="array" ref="P18">SUMPRODUCT(('Data for SPECIATE'!$C$5:$C$26='PM Protocol'!P$1)*('Data for SPECIATE'!$M$1:$AZ$1='PM Protocol'!$A18)*'Data for SPECIATE'!$M$5:$AZ$26)/VLOOKUP(P$1,'Data for SPECIATE'!$C$5:$L$26,10,FALSE)</f>
        <v>0</v>
      </c>
      <c r="Q18" s="188" cm="1">
        <f t="array" ref="Q18">SUMPRODUCT(('Data for SPECIATE'!$C$5:$C$26='PM Protocol'!Q$1)*('Data for SPECIATE'!$M$1:$AZ$1='PM Protocol'!$A18)*'Data for SPECIATE'!$M$5:$AZ$26)/VLOOKUP(Q$1,'Data for SPECIATE'!$C$5:$L$26,10,FALSE)</f>
        <v>2.0618827652267468E-4</v>
      </c>
      <c r="R18" s="188" cm="1">
        <f t="array" ref="R18">SUMPRODUCT(('Data for SPECIATE'!$C$5:$C$26='PM Protocol'!R$1)*('Data for SPECIATE'!$M$1:$AZ$1='PM Protocol'!$A18)*'Data for SPECIATE'!$M$5:$AZ$26)/SUMPRODUCT(('Data for SPECIATE'!$C$5:$C$26='PM Protocol'!R$1)*'Data for SPECIATE'!$M$5:$AZ$26)</f>
        <v>4.5782265124278212E-4</v>
      </c>
      <c r="S18" s="188" cm="1">
        <f t="array" ref="S18">SUMPRODUCT(('Data for SPECIATE'!$C$5:$C$26='PM Protocol'!S$1)*('Data for SPECIATE'!$M$1:$AZ$1='PM Protocol'!$A18)*'Data for SPECIATE'!$M$5:$AZ$26)/VLOOKUP(S$1,'Data for SPECIATE'!$C$5:$L$26,10,FALSE)</f>
        <v>5.4987608398332216E-5</v>
      </c>
      <c r="T18" s="188" cm="1">
        <f t="array" ref="T18">SUMPRODUCT(('Data for SPECIATE'!$C$5:$C$26='PM Protocol'!T$1)*('Data for SPECIATE'!$M$1:$AZ$1='PM Protocol'!$A18)*'Data for SPECIATE'!$M$5:$AZ$26)/VLOOKUP(T$1,'Data for SPECIATE'!$C$5:$L$26,10,FALSE)</f>
        <v>0</v>
      </c>
      <c r="U18" s="188" cm="1">
        <f t="array" ref="U18">SUMPRODUCT(('Data for SPECIATE'!$C$5:$C$26='PM Protocol'!U$1)*('Data for SPECIATE'!$M$1:$AZ$1='PM Protocol'!$A18)*'Data for SPECIATE'!$M$5:$AZ$26)/VLOOKUP(U$1,'Data for SPECIATE'!$C$5:$L$26,10,FALSE)</f>
        <v>0</v>
      </c>
      <c r="V18" s="188" cm="1">
        <f t="array" ref="V18">SUMPRODUCT(('Data for SPECIATE'!$C$5:$C$26='PM Protocol'!V$1)*('Data for SPECIATE'!$M$1:$AZ$1='PM Protocol'!$A18)*'Data for SPECIATE'!$M$5:$AZ$26)/VLOOKUP(V$1,'Data for SPECIATE'!$C$5:$L$26,10,FALSE)</f>
        <v>0</v>
      </c>
      <c r="W18" s="188" cm="1">
        <f t="array" ref="W18">SUMPRODUCT(('Data for SPECIATE'!$C$5:$C$26='PM Protocol'!W$1)*('Data for SPECIATE'!$M$1:$AZ$1='PM Protocol'!$A18)*'Data for SPECIATE'!$M$5:$AZ$26)/VLOOKUP(W$1,'Data for SPECIATE'!$C$5:$L$26,10,FALSE)</f>
        <v>1.4536619028537485E-3</v>
      </c>
      <c r="X18" s="188" cm="1">
        <f t="array" ref="X18">SUMPRODUCT(('Data for SPECIATE'!$C$5:$C$26='PM Protocol'!X$1)*('Data for SPECIATE'!$M$1:$AZ$1='PM Protocol'!$A18)*'Data for SPECIATE'!$M$5:$AZ$26)/VLOOKUP(X$1,'Data for SPECIATE'!$C$5:$L$26,10,FALSE)</f>
        <v>0</v>
      </c>
      <c r="Y18" s="188" cm="1">
        <f t="array" ref="Y18">SUMPRODUCT(('Data for SPECIATE'!$C$5:$C$26='PM Protocol'!Y$1)*('Data for SPECIATE'!$M$1:$AZ$1='PM Protocol'!$A18)*'Data for SPECIATE'!$M$5:$AZ$26)/VLOOKUP(Y$1,'Data for SPECIATE'!$C$5:$L$26,10,FALSE)</f>
        <v>1.5868584180811623E-4</v>
      </c>
      <c r="Z18" s="188" cm="1">
        <f t="array" ref="Z18">SUMPRODUCT(('Data for SPECIATE'!$C$5:$C$26='PM Protocol'!Z$1)*('Data for SPECIATE'!$M$1:$AZ$1='PM Protocol'!$A18)*'Data for SPECIATE'!$M$5:$AZ$26)/VLOOKUP(Z$1,'Data for SPECIATE'!$C$5:$L$26,10,FALSE)</f>
        <v>0</v>
      </c>
    </row>
    <row r="19" spans="1:26">
      <c r="A19">
        <v>292</v>
      </c>
      <c r="B19" t="str">
        <f>HLOOKUP(A19,'Data for SPECIATE'!$M$1:$AZ$2,2,FALSE)</f>
        <v>XRF</v>
      </c>
      <c r="C19" s="191">
        <f>IFERROR(VLOOKUP(A19,Oxides!$A$2:$G$39,7,FALSE),0)</f>
        <v>0.88900000000000001</v>
      </c>
      <c r="D19" t="s">
        <v>682</v>
      </c>
      <c r="E19" s="188" cm="1">
        <f t="array" ref="E19">SUMPRODUCT(('Data for SPECIATE'!$C$5:$C$26='PM Protocol'!E$1)*('Data for SPECIATE'!$M$1:$AZ$1='PM Protocol'!$A19)*'Data for SPECIATE'!$M$5:$AZ$26)/VLOOKUP(E$1,'Data for SPECIATE'!$C$5:$L$26,10,FALSE)</f>
        <v>0</v>
      </c>
      <c r="F19" s="188" cm="1">
        <f t="array" ref="F19">SUMPRODUCT(('Data for SPECIATE'!$C$5:$C$26='PM Protocol'!F$1)*('Data for SPECIATE'!$M$1:$AZ$1='PM Protocol'!$A19)*'Data for SPECIATE'!$M$5:$AZ$26)/VLOOKUP(F$1,'Data for SPECIATE'!$C$5:$L$26,10,FALSE)</f>
        <v>0</v>
      </c>
      <c r="G19" s="188" cm="1">
        <f t="array" ref="G19">SUMPRODUCT(('Data for SPECIATE'!$C$5:$C$26='PM Protocol'!G$1)*('Data for SPECIATE'!$M$1:$AZ$1='PM Protocol'!$A19)*'Data for SPECIATE'!$M$5:$AZ$26)/VLOOKUP(G$1,'Data for SPECIATE'!$C$5:$L$26,10,FALSE)</f>
        <v>0</v>
      </c>
      <c r="H19" s="188" cm="1">
        <f t="array" ref="H19">SUMPRODUCT(('Data for SPECIATE'!$C$5:$C$26='PM Protocol'!H$1)*('Data for SPECIATE'!$M$1:$AZ$1='PM Protocol'!$A19)*'Data for SPECIATE'!$M$5:$AZ$26)/VLOOKUP(H$1,'Data for SPECIATE'!$C$5:$L$26,10,FALSE)</f>
        <v>0</v>
      </c>
      <c r="I19" s="188" cm="1">
        <f t="array" ref="I19">SUMPRODUCT(('Data for SPECIATE'!$C$5:$C$26='PM Protocol'!I$1)*('Data for SPECIATE'!$M$1:$AZ$1='PM Protocol'!$A19)*'Data for SPECIATE'!$M$5:$AZ$26)/VLOOKUP(I$1,'Data for SPECIATE'!$C$5:$L$26,10,FALSE)</f>
        <v>0</v>
      </c>
      <c r="J19" s="188" cm="1">
        <f t="array" ref="J19">SUMPRODUCT(('Data for SPECIATE'!$C$5:$C$26='PM Protocol'!J$1)*('Data for SPECIATE'!$M$1:$AZ$1='PM Protocol'!$A19)*'Data for SPECIATE'!$M$5:$AZ$26)/VLOOKUP(J$1,'Data for SPECIATE'!$C$5:$L$26,10,FALSE)</f>
        <v>0</v>
      </c>
      <c r="K19" s="188" cm="1">
        <f t="array" ref="K19">SUMPRODUCT(('Data for SPECIATE'!$C$5:$C$26='PM Protocol'!K$1)*('Data for SPECIATE'!$M$1:$AZ$1='PM Protocol'!$A19)*'Data for SPECIATE'!$M$5:$AZ$26)/VLOOKUP(K$1,'Data for SPECIATE'!$C$5:$L$26,10,FALSE)</f>
        <v>0</v>
      </c>
      <c r="L19" s="188" cm="1">
        <f t="array" ref="L19">SUMPRODUCT(('Data for SPECIATE'!$C$5:$C$26='PM Protocol'!L$1)*('Data for SPECIATE'!$M$1:$AZ$1='PM Protocol'!$A19)*'Data for SPECIATE'!$M$5:$AZ$26)/VLOOKUP(L$1,'Data for SPECIATE'!$C$5:$L$26,10,FALSE)</f>
        <v>0</v>
      </c>
      <c r="M19" s="188" cm="1">
        <f t="array" ref="M19">SUMPRODUCT(('Data for SPECIATE'!$C$5:$C$26='PM Protocol'!M$1)*('Data for SPECIATE'!$M$1:$AZ$1='PM Protocol'!$A19)*'Data for SPECIATE'!$M$5:$AZ$26)/VLOOKUP(M$1,'Data for SPECIATE'!$C$5:$L$26,10,FALSE)</f>
        <v>0</v>
      </c>
      <c r="N19" s="188" cm="1">
        <f t="array" ref="N19">SUMPRODUCT(('Data for SPECIATE'!$C$5:$C$26='PM Protocol'!N$1)*('Data for SPECIATE'!$M$1:$AZ$1='PM Protocol'!$A19)*'Data for SPECIATE'!$M$5:$AZ$26)/VLOOKUP(N$1,'Data for SPECIATE'!$C$5:$L$26,10,FALSE)</f>
        <v>1.7761938434447746E-5</v>
      </c>
      <c r="O19" s="188" cm="1">
        <f t="array" ref="O19">SUMPRODUCT(('Data for SPECIATE'!$C$5:$C$26='PM Protocol'!O$1)*('Data for SPECIATE'!$M$1:$AZ$1='PM Protocol'!$A19)*'Data for SPECIATE'!$M$5:$AZ$26)/VLOOKUP(O$1,'Data for SPECIATE'!$C$5:$L$26,10,FALSE)</f>
        <v>0</v>
      </c>
      <c r="P19" s="188" cm="1">
        <f t="array" ref="P19">SUMPRODUCT(('Data for SPECIATE'!$C$5:$C$26='PM Protocol'!P$1)*('Data for SPECIATE'!$M$1:$AZ$1='PM Protocol'!$A19)*'Data for SPECIATE'!$M$5:$AZ$26)/VLOOKUP(P$1,'Data for SPECIATE'!$C$5:$L$26,10,FALSE)</f>
        <v>0</v>
      </c>
      <c r="Q19" s="188" cm="1">
        <f t="array" ref="Q19">SUMPRODUCT(('Data for SPECIATE'!$C$5:$C$26='PM Protocol'!Q$1)*('Data for SPECIATE'!$M$1:$AZ$1='PM Protocol'!$A19)*'Data for SPECIATE'!$M$5:$AZ$26)/VLOOKUP(Q$1,'Data for SPECIATE'!$C$5:$L$26,10,FALSE)</f>
        <v>0</v>
      </c>
      <c r="R19" s="188" cm="1">
        <f t="array" ref="R19">SUMPRODUCT(('Data for SPECIATE'!$C$5:$C$26='PM Protocol'!R$1)*('Data for SPECIATE'!$M$1:$AZ$1='PM Protocol'!$A19)*'Data for SPECIATE'!$M$5:$AZ$26)/SUMPRODUCT(('Data for SPECIATE'!$C$5:$C$26='PM Protocol'!R$1)*'Data for SPECIATE'!$M$5:$AZ$26)</f>
        <v>0</v>
      </c>
      <c r="S19" s="188" cm="1">
        <f t="array" ref="S19">SUMPRODUCT(('Data for SPECIATE'!$C$5:$C$26='PM Protocol'!S$1)*('Data for SPECIATE'!$M$1:$AZ$1='PM Protocol'!$A19)*'Data for SPECIATE'!$M$5:$AZ$26)/VLOOKUP(S$1,'Data for SPECIATE'!$C$5:$L$26,10,FALSE)</f>
        <v>0</v>
      </c>
      <c r="T19" s="188" cm="1">
        <f t="array" ref="T19">SUMPRODUCT(('Data for SPECIATE'!$C$5:$C$26='PM Protocol'!T$1)*('Data for SPECIATE'!$M$1:$AZ$1='PM Protocol'!$A19)*'Data for SPECIATE'!$M$5:$AZ$26)/VLOOKUP(T$1,'Data for SPECIATE'!$C$5:$L$26,10,FALSE)</f>
        <v>0</v>
      </c>
      <c r="U19" s="188" cm="1">
        <f t="array" ref="U19">SUMPRODUCT(('Data for SPECIATE'!$C$5:$C$26='PM Protocol'!U$1)*('Data for SPECIATE'!$M$1:$AZ$1='PM Protocol'!$A19)*'Data for SPECIATE'!$M$5:$AZ$26)/VLOOKUP(U$1,'Data for SPECIATE'!$C$5:$L$26,10,FALSE)</f>
        <v>0</v>
      </c>
      <c r="V19" s="188" cm="1">
        <f t="array" ref="V19">SUMPRODUCT(('Data for SPECIATE'!$C$5:$C$26='PM Protocol'!V$1)*('Data for SPECIATE'!$M$1:$AZ$1='PM Protocol'!$A19)*'Data for SPECIATE'!$M$5:$AZ$26)/VLOOKUP(V$1,'Data for SPECIATE'!$C$5:$L$26,10,FALSE)</f>
        <v>0</v>
      </c>
      <c r="W19" s="188" cm="1">
        <f t="array" ref="W19">SUMPRODUCT(('Data for SPECIATE'!$C$5:$C$26='PM Protocol'!W$1)*('Data for SPECIATE'!$M$1:$AZ$1='PM Protocol'!$A19)*'Data for SPECIATE'!$M$5:$AZ$26)/VLOOKUP(W$1,'Data for SPECIATE'!$C$5:$L$26,10,FALSE)</f>
        <v>0</v>
      </c>
      <c r="X19" s="188" cm="1">
        <f t="array" ref="X19">SUMPRODUCT(('Data for SPECIATE'!$C$5:$C$26='PM Protocol'!X$1)*('Data for SPECIATE'!$M$1:$AZ$1='PM Protocol'!$A19)*'Data for SPECIATE'!$M$5:$AZ$26)/VLOOKUP(X$1,'Data for SPECIATE'!$C$5:$L$26,10,FALSE)</f>
        <v>0</v>
      </c>
      <c r="Y19" s="188" cm="1">
        <f t="array" ref="Y19">SUMPRODUCT(('Data for SPECIATE'!$C$5:$C$26='PM Protocol'!Y$1)*('Data for SPECIATE'!$M$1:$AZ$1='PM Protocol'!$A19)*'Data for SPECIATE'!$M$5:$AZ$26)/VLOOKUP(Y$1,'Data for SPECIATE'!$C$5:$L$26,10,FALSE)</f>
        <v>0</v>
      </c>
      <c r="Z19" s="188" cm="1">
        <f t="array" ref="Z19">SUMPRODUCT(('Data for SPECIATE'!$C$5:$C$26='PM Protocol'!Z$1)*('Data for SPECIATE'!$M$1:$AZ$1='PM Protocol'!$A19)*'Data for SPECIATE'!$M$5:$AZ$26)/VLOOKUP(Z$1,'Data for SPECIATE'!$C$5:$L$26,10,FALSE)</f>
        <v>0</v>
      </c>
    </row>
    <row r="20" spans="1:26">
      <c r="A20">
        <v>694</v>
      </c>
      <c r="B20" t="str">
        <f>HLOOKUP(A20,'Data for SPECIATE'!$M$1:$AZ$2,2,FALSE)</f>
        <v>XRF</v>
      </c>
      <c r="C20" s="191">
        <f>IFERROR(VLOOKUP(A20,Oxides!$A$2:$G$39,7,FALSE),0)</f>
        <v>1.139</v>
      </c>
      <c r="D20" t="s">
        <v>683</v>
      </c>
      <c r="E20" s="188" cm="1">
        <f t="array" ref="E20">SUMPRODUCT(('Data for SPECIATE'!$C$5:$C$26='PM Protocol'!E$1)*('Data for SPECIATE'!$M$1:$AZ$1='PM Protocol'!$A20)*'Data for SPECIATE'!$M$5:$AZ$26)/VLOOKUP(E$1,'Data for SPECIATE'!$C$5:$L$26,10,FALSE)</f>
        <v>2.461133130803536E-5</v>
      </c>
      <c r="F20" s="188" cm="1">
        <f t="array" ref="F20">SUMPRODUCT(('Data for SPECIATE'!$C$5:$C$26='PM Protocol'!F$1)*('Data for SPECIATE'!$M$1:$AZ$1='PM Protocol'!$A20)*'Data for SPECIATE'!$M$5:$AZ$26)/VLOOKUP(F$1,'Data for SPECIATE'!$C$5:$L$26,10,FALSE)</f>
        <v>2.2344655503695183E-5</v>
      </c>
      <c r="G20" s="188" cm="1">
        <f t="array" ref="G20">SUMPRODUCT(('Data for SPECIATE'!$C$5:$C$26='PM Protocol'!G$1)*('Data for SPECIATE'!$M$1:$AZ$1='PM Protocol'!$A20)*'Data for SPECIATE'!$M$5:$AZ$26)/VLOOKUP(G$1,'Data for SPECIATE'!$C$5:$L$26,10,FALSE)</f>
        <v>1.9744419546458602E-4</v>
      </c>
      <c r="H20" s="188" cm="1">
        <f t="array" ref="H20">SUMPRODUCT(('Data for SPECIATE'!$C$5:$C$26='PM Protocol'!H$1)*('Data for SPECIATE'!$M$1:$AZ$1='PM Protocol'!$A20)*'Data for SPECIATE'!$M$5:$AZ$26)/VLOOKUP(H$1,'Data for SPECIATE'!$C$5:$L$26,10,FALSE)</f>
        <v>0</v>
      </c>
      <c r="I20" s="188" cm="1">
        <f t="array" ref="I20">SUMPRODUCT(('Data for SPECIATE'!$C$5:$C$26='PM Protocol'!I$1)*('Data for SPECIATE'!$M$1:$AZ$1='PM Protocol'!$A20)*'Data for SPECIATE'!$M$5:$AZ$26)/VLOOKUP(I$1,'Data for SPECIATE'!$C$5:$L$26,10,FALSE)</f>
        <v>6.0045373566176167E-5</v>
      </c>
      <c r="J20" s="188" cm="1">
        <f t="array" ref="J20">SUMPRODUCT(('Data for SPECIATE'!$C$5:$C$26='PM Protocol'!J$1)*('Data for SPECIATE'!$M$1:$AZ$1='PM Protocol'!$A20)*'Data for SPECIATE'!$M$5:$AZ$26)/VLOOKUP(J$1,'Data for SPECIATE'!$C$5:$L$26,10,FALSE)</f>
        <v>0</v>
      </c>
      <c r="K20" s="188" cm="1">
        <f t="array" ref="K20">SUMPRODUCT(('Data for SPECIATE'!$C$5:$C$26='PM Protocol'!K$1)*('Data for SPECIATE'!$M$1:$AZ$1='PM Protocol'!$A20)*'Data for SPECIATE'!$M$5:$AZ$26)/VLOOKUP(K$1,'Data for SPECIATE'!$C$5:$L$26,10,FALSE)</f>
        <v>5.7883952777650526E-5</v>
      </c>
      <c r="L20" s="188" cm="1">
        <f t="array" ref="L20">SUMPRODUCT(('Data for SPECIATE'!$C$5:$C$26='PM Protocol'!L$1)*('Data for SPECIATE'!$M$1:$AZ$1='PM Protocol'!$A20)*'Data for SPECIATE'!$M$5:$AZ$26)/VLOOKUP(L$1,'Data for SPECIATE'!$C$5:$L$26,10,FALSE)</f>
        <v>0</v>
      </c>
      <c r="M20" s="188" cm="1">
        <f t="array" ref="M20">SUMPRODUCT(('Data for SPECIATE'!$C$5:$C$26='PM Protocol'!M$1)*('Data for SPECIATE'!$M$1:$AZ$1='PM Protocol'!$A20)*'Data for SPECIATE'!$M$5:$AZ$26)/VLOOKUP(M$1,'Data for SPECIATE'!$C$5:$L$26,10,FALSE)</f>
        <v>2.8229541013443835E-4</v>
      </c>
      <c r="N20" s="188" cm="1">
        <f t="array" ref="N20">SUMPRODUCT(('Data for SPECIATE'!$C$5:$C$26='PM Protocol'!N$1)*('Data for SPECIATE'!$M$1:$AZ$1='PM Protocol'!$A20)*'Data for SPECIATE'!$M$5:$AZ$26)/VLOOKUP(N$1,'Data for SPECIATE'!$C$5:$L$26,10,FALSE)</f>
        <v>9.4565980835501099E-6</v>
      </c>
      <c r="O20" s="188" cm="1">
        <f t="array" ref="O20">SUMPRODUCT(('Data for SPECIATE'!$C$5:$C$26='PM Protocol'!O$1)*('Data for SPECIATE'!$M$1:$AZ$1='PM Protocol'!$A20)*'Data for SPECIATE'!$M$5:$AZ$26)/VLOOKUP(O$1,'Data for SPECIATE'!$C$5:$L$26,10,FALSE)</f>
        <v>0</v>
      </c>
      <c r="P20" s="188" cm="1">
        <f t="array" ref="P20">SUMPRODUCT(('Data for SPECIATE'!$C$5:$C$26='PM Protocol'!P$1)*('Data for SPECIATE'!$M$1:$AZ$1='PM Protocol'!$A20)*'Data for SPECIATE'!$M$5:$AZ$26)/VLOOKUP(P$1,'Data for SPECIATE'!$C$5:$L$26,10,FALSE)</f>
        <v>3.1219116124106757E-5</v>
      </c>
      <c r="Q20" s="188" cm="1">
        <f t="array" ref="Q20">SUMPRODUCT(('Data for SPECIATE'!$C$5:$C$26='PM Protocol'!Q$1)*('Data for SPECIATE'!$M$1:$AZ$1='PM Protocol'!$A20)*'Data for SPECIATE'!$M$5:$AZ$26)/VLOOKUP(Q$1,'Data for SPECIATE'!$C$5:$L$26,10,FALSE)</f>
        <v>1.5383296758506011E-3</v>
      </c>
      <c r="R20" s="188" cm="1">
        <f t="array" ref="R20">SUMPRODUCT(('Data for SPECIATE'!$C$5:$C$26='PM Protocol'!R$1)*('Data for SPECIATE'!$M$1:$AZ$1='PM Protocol'!$A20)*'Data for SPECIATE'!$M$5:$AZ$26)/SUMPRODUCT(('Data for SPECIATE'!$C$5:$C$26='PM Protocol'!R$1)*'Data for SPECIATE'!$M$5:$AZ$26)</f>
        <v>2.8508106109247821E-4</v>
      </c>
      <c r="S20" s="188" cm="1">
        <f t="array" ref="S20">SUMPRODUCT(('Data for SPECIATE'!$C$5:$C$26='PM Protocol'!S$1)*('Data for SPECIATE'!$M$1:$AZ$1='PM Protocol'!$A20)*'Data for SPECIATE'!$M$5:$AZ$26)/VLOOKUP(S$1,'Data for SPECIATE'!$C$5:$L$26,10,FALSE)</f>
        <v>1.2345375619512858E-4</v>
      </c>
      <c r="T20" s="188" cm="1">
        <f t="array" ref="T20">SUMPRODUCT(('Data for SPECIATE'!$C$5:$C$26='PM Protocol'!T$1)*('Data for SPECIATE'!$M$1:$AZ$1='PM Protocol'!$A20)*'Data for SPECIATE'!$M$5:$AZ$26)/VLOOKUP(T$1,'Data for SPECIATE'!$C$5:$L$26,10,FALSE)</f>
        <v>3.8640271306596748E-3</v>
      </c>
      <c r="U20" s="188" cm="1">
        <f t="array" ref="U20">SUMPRODUCT(('Data for SPECIATE'!$C$5:$C$26='PM Protocol'!U$1)*('Data for SPECIATE'!$M$1:$AZ$1='PM Protocol'!$A20)*'Data for SPECIATE'!$M$5:$AZ$26)/VLOOKUP(U$1,'Data for SPECIATE'!$C$5:$L$26,10,FALSE)</f>
        <v>4.5581596756355014E-5</v>
      </c>
      <c r="V20" s="188" cm="1">
        <f t="array" ref="V20">SUMPRODUCT(('Data for SPECIATE'!$C$5:$C$26='PM Protocol'!V$1)*('Data for SPECIATE'!$M$1:$AZ$1='PM Protocol'!$A20)*'Data for SPECIATE'!$M$5:$AZ$26)/VLOOKUP(V$1,'Data for SPECIATE'!$C$5:$L$26,10,FALSE)</f>
        <v>8.7585271625294572E-4</v>
      </c>
      <c r="W20" s="188" cm="1">
        <f t="array" ref="W20">SUMPRODUCT(('Data for SPECIATE'!$C$5:$C$26='PM Protocol'!W$1)*('Data for SPECIATE'!$M$1:$AZ$1='PM Protocol'!$A20)*'Data for SPECIATE'!$M$5:$AZ$26)/VLOOKUP(W$1,'Data for SPECIATE'!$C$5:$L$26,10,FALSE)</f>
        <v>0</v>
      </c>
      <c r="X20" s="188" cm="1">
        <f t="array" ref="X20">SUMPRODUCT(('Data for SPECIATE'!$C$5:$C$26='PM Protocol'!X$1)*('Data for SPECIATE'!$M$1:$AZ$1='PM Protocol'!$A20)*'Data for SPECIATE'!$M$5:$AZ$26)/VLOOKUP(X$1,'Data for SPECIATE'!$C$5:$L$26,10,FALSE)</f>
        <v>0</v>
      </c>
      <c r="Y20" s="188" cm="1">
        <f t="array" ref="Y20">SUMPRODUCT(('Data for SPECIATE'!$C$5:$C$26='PM Protocol'!Y$1)*('Data for SPECIATE'!$M$1:$AZ$1='PM Protocol'!$A20)*'Data for SPECIATE'!$M$5:$AZ$26)/VLOOKUP(Y$1,'Data for SPECIATE'!$C$5:$L$26,10,FALSE)</f>
        <v>1.9600340096879244E-4</v>
      </c>
      <c r="Z20" s="188" cm="1">
        <f t="array" ref="Z20">SUMPRODUCT(('Data for SPECIATE'!$C$5:$C$26='PM Protocol'!Z$1)*('Data for SPECIATE'!$M$1:$AZ$1='PM Protocol'!$A20)*'Data for SPECIATE'!$M$5:$AZ$26)/VLOOKUP(Z$1,'Data for SPECIATE'!$C$5:$L$26,10,FALSE)</f>
        <v>0</v>
      </c>
    </row>
    <row r="21" spans="1:26">
      <c r="A21">
        <v>715</v>
      </c>
      <c r="B21" t="str">
        <f>HLOOKUP(A21,'Data for SPECIATE'!$M$1:$AZ$2,2,FALSE)</f>
        <v>XRF</v>
      </c>
      <c r="C21" s="191">
        <f>IFERROR(VLOOKUP(A21,Oxides!$A$2:$G$39,7,FALSE),0)</f>
        <v>0.66900000000000004</v>
      </c>
      <c r="D21" t="s">
        <v>684</v>
      </c>
      <c r="E21" s="188" cm="1">
        <f t="array" ref="E21">SUMPRODUCT(('Data for SPECIATE'!$C$5:$C$26='PM Protocol'!E$1)*('Data for SPECIATE'!$M$1:$AZ$1='PM Protocol'!$A21)*'Data for SPECIATE'!$M$5:$AZ$26)/VLOOKUP(E$1,'Data for SPECIATE'!$C$5:$L$26,10,FALSE)</f>
        <v>6.2046862932995549E-5</v>
      </c>
      <c r="F21" s="188" cm="1">
        <f t="array" ref="F21">SUMPRODUCT(('Data for SPECIATE'!$C$5:$C$26='PM Protocol'!F$1)*('Data for SPECIATE'!$M$1:$AZ$1='PM Protocol'!$A21)*'Data for SPECIATE'!$M$5:$AZ$26)/VLOOKUP(F$1,'Data for SPECIATE'!$C$5:$L$26,10,FALSE)</f>
        <v>3.7160620702183411E-6</v>
      </c>
      <c r="G21" s="188" cm="1">
        <f t="array" ref="G21">SUMPRODUCT(('Data for SPECIATE'!$C$5:$C$26='PM Protocol'!G$1)*('Data for SPECIATE'!$M$1:$AZ$1='PM Protocol'!$A21)*'Data for SPECIATE'!$M$5:$AZ$26)/VLOOKUP(G$1,'Data for SPECIATE'!$C$5:$L$26,10,FALSE)</f>
        <v>2.4328028408418994E-5</v>
      </c>
      <c r="H21" s="188" cm="1">
        <f t="array" ref="H21">SUMPRODUCT(('Data for SPECIATE'!$C$5:$C$26='PM Protocol'!H$1)*('Data for SPECIATE'!$M$1:$AZ$1='PM Protocol'!$A21)*'Data for SPECIATE'!$M$5:$AZ$26)/VLOOKUP(H$1,'Data for SPECIATE'!$C$5:$L$26,10,FALSE)</f>
        <v>0</v>
      </c>
      <c r="I21" s="188" cm="1">
        <f t="array" ref="I21">SUMPRODUCT(('Data for SPECIATE'!$C$5:$C$26='PM Protocol'!I$1)*('Data for SPECIATE'!$M$1:$AZ$1='PM Protocol'!$A21)*'Data for SPECIATE'!$M$5:$AZ$26)/VLOOKUP(I$1,'Data for SPECIATE'!$C$5:$L$26,10,FALSE)</f>
        <v>0</v>
      </c>
      <c r="J21" s="188" cm="1">
        <f t="array" ref="J21">SUMPRODUCT(('Data for SPECIATE'!$C$5:$C$26='PM Protocol'!J$1)*('Data for SPECIATE'!$M$1:$AZ$1='PM Protocol'!$A21)*'Data for SPECIATE'!$M$5:$AZ$26)/VLOOKUP(J$1,'Data for SPECIATE'!$C$5:$L$26,10,FALSE)</f>
        <v>3.509232382067554E-6</v>
      </c>
      <c r="K21" s="188" cm="1">
        <f t="array" ref="K21">SUMPRODUCT(('Data for SPECIATE'!$C$5:$C$26='PM Protocol'!K$1)*('Data for SPECIATE'!$M$1:$AZ$1='PM Protocol'!$A21)*'Data for SPECIATE'!$M$5:$AZ$26)/VLOOKUP(K$1,'Data for SPECIATE'!$C$5:$L$26,10,FALSE)</f>
        <v>2.5282772206388998E-5</v>
      </c>
      <c r="L21" s="188" cm="1">
        <f t="array" ref="L21">SUMPRODUCT(('Data for SPECIATE'!$C$5:$C$26='PM Protocol'!L$1)*('Data for SPECIATE'!$M$1:$AZ$1='PM Protocol'!$A21)*'Data for SPECIATE'!$M$5:$AZ$26)/VLOOKUP(L$1,'Data for SPECIATE'!$C$5:$L$26,10,FALSE)</f>
        <v>0</v>
      </c>
      <c r="M21" s="188" cm="1">
        <f t="array" ref="M21">SUMPRODUCT(('Data for SPECIATE'!$C$5:$C$26='PM Protocol'!M$1)*('Data for SPECIATE'!$M$1:$AZ$1='PM Protocol'!$A21)*'Data for SPECIATE'!$M$5:$AZ$26)/VLOOKUP(M$1,'Data for SPECIATE'!$C$5:$L$26,10,FALSE)</f>
        <v>0</v>
      </c>
      <c r="N21" s="188" cm="1">
        <f t="array" ref="N21">SUMPRODUCT(('Data for SPECIATE'!$C$5:$C$26='PM Protocol'!N$1)*('Data for SPECIATE'!$M$1:$AZ$1='PM Protocol'!$A21)*'Data for SPECIATE'!$M$5:$AZ$26)/VLOOKUP(N$1,'Data for SPECIATE'!$C$5:$L$26,10,FALSE)</f>
        <v>9.3071083398873789E-6</v>
      </c>
      <c r="O21" s="188" cm="1">
        <f t="array" ref="O21">SUMPRODUCT(('Data for SPECIATE'!$C$5:$C$26='PM Protocol'!O$1)*('Data for SPECIATE'!$M$1:$AZ$1='PM Protocol'!$A21)*'Data for SPECIATE'!$M$5:$AZ$26)/VLOOKUP(O$1,'Data for SPECIATE'!$C$5:$L$26,10,FALSE)</f>
        <v>0</v>
      </c>
      <c r="P21" s="188" cm="1">
        <f t="array" ref="P21">SUMPRODUCT(('Data for SPECIATE'!$C$5:$C$26='PM Protocol'!P$1)*('Data for SPECIATE'!$M$1:$AZ$1='PM Protocol'!$A21)*'Data for SPECIATE'!$M$5:$AZ$26)/VLOOKUP(P$1,'Data for SPECIATE'!$C$5:$L$26,10,FALSE)</f>
        <v>0</v>
      </c>
      <c r="Q21" s="188" cm="1">
        <f t="array" ref="Q21">SUMPRODUCT(('Data for SPECIATE'!$C$5:$C$26='PM Protocol'!Q$1)*('Data for SPECIATE'!$M$1:$AZ$1='PM Protocol'!$A21)*'Data for SPECIATE'!$M$5:$AZ$26)/VLOOKUP(Q$1,'Data for SPECIATE'!$C$5:$L$26,10,FALSE)</f>
        <v>4.6993521500922119E-5</v>
      </c>
      <c r="R21" s="188" cm="1">
        <f t="array" ref="R21">SUMPRODUCT(('Data for SPECIATE'!$C$5:$C$26='PM Protocol'!R$1)*('Data for SPECIATE'!$M$1:$AZ$1='PM Protocol'!$A21)*'Data for SPECIATE'!$M$5:$AZ$26)/SUMPRODUCT(('Data for SPECIATE'!$C$5:$C$26='PM Protocol'!R$1)*'Data for SPECIATE'!$M$5:$AZ$26)</f>
        <v>0</v>
      </c>
      <c r="S21" s="188" cm="1">
        <f t="array" ref="S21">SUMPRODUCT(('Data for SPECIATE'!$C$5:$C$26='PM Protocol'!S$1)*('Data for SPECIATE'!$M$1:$AZ$1='PM Protocol'!$A21)*'Data for SPECIATE'!$M$5:$AZ$26)/VLOOKUP(S$1,'Data for SPECIATE'!$C$5:$L$26,10,FALSE)</f>
        <v>7.3690835774999971E-6</v>
      </c>
      <c r="T21" s="188" cm="1">
        <f t="array" ref="T21">SUMPRODUCT(('Data for SPECIATE'!$C$5:$C$26='PM Protocol'!T$1)*('Data for SPECIATE'!$M$1:$AZ$1='PM Protocol'!$A21)*'Data for SPECIATE'!$M$5:$AZ$26)/VLOOKUP(T$1,'Data for SPECIATE'!$C$5:$L$26,10,FALSE)</f>
        <v>0</v>
      </c>
      <c r="U21" s="188" cm="1">
        <f t="array" ref="U21">SUMPRODUCT(('Data for SPECIATE'!$C$5:$C$26='PM Protocol'!U$1)*('Data for SPECIATE'!$M$1:$AZ$1='PM Protocol'!$A21)*'Data for SPECIATE'!$M$5:$AZ$26)/VLOOKUP(U$1,'Data for SPECIATE'!$C$5:$L$26,10,FALSE)</f>
        <v>6.4808079024346981E-6</v>
      </c>
      <c r="V21" s="188" cm="1">
        <f t="array" ref="V21">SUMPRODUCT(('Data for SPECIATE'!$C$5:$C$26='PM Protocol'!V$1)*('Data for SPECIATE'!$M$1:$AZ$1='PM Protocol'!$A21)*'Data for SPECIATE'!$M$5:$AZ$26)/VLOOKUP(V$1,'Data for SPECIATE'!$C$5:$L$26,10,FALSE)</f>
        <v>0</v>
      </c>
      <c r="W21" s="188" cm="1">
        <f t="array" ref="W21">SUMPRODUCT(('Data for SPECIATE'!$C$5:$C$26='PM Protocol'!W$1)*('Data for SPECIATE'!$M$1:$AZ$1='PM Protocol'!$A21)*'Data for SPECIATE'!$M$5:$AZ$26)/VLOOKUP(W$1,'Data for SPECIATE'!$C$5:$L$26,10,FALSE)</f>
        <v>0</v>
      </c>
      <c r="X21" s="188" cm="1">
        <f t="array" ref="X21">SUMPRODUCT(('Data for SPECIATE'!$C$5:$C$26='PM Protocol'!X$1)*('Data for SPECIATE'!$M$1:$AZ$1='PM Protocol'!$A21)*'Data for SPECIATE'!$M$5:$AZ$26)/VLOOKUP(X$1,'Data for SPECIATE'!$C$5:$L$26,10,FALSE)</f>
        <v>0</v>
      </c>
      <c r="Y21" s="188" cm="1">
        <f t="array" ref="Y21">SUMPRODUCT(('Data for SPECIATE'!$C$5:$C$26='PM Protocol'!Y$1)*('Data for SPECIATE'!$M$1:$AZ$1='PM Protocol'!$A21)*'Data for SPECIATE'!$M$5:$AZ$26)/VLOOKUP(Y$1,'Data for SPECIATE'!$C$5:$L$26,10,FALSE)</f>
        <v>0</v>
      </c>
      <c r="Z21" s="188" cm="1">
        <f t="array" ref="Z21">SUMPRODUCT(('Data for SPECIATE'!$C$5:$C$26='PM Protocol'!Z$1)*('Data for SPECIATE'!$M$1:$AZ$1='PM Protocol'!$A21)*'Data for SPECIATE'!$M$5:$AZ$26)/VLOOKUP(Z$1,'Data for SPECIATE'!$C$5:$L$26,10,FALSE)</f>
        <v>0</v>
      </c>
    </row>
    <row r="22" spans="1:26">
      <c r="A22">
        <v>2303</v>
      </c>
      <c r="B22" t="s">
        <v>20</v>
      </c>
      <c r="C22" s="191">
        <f>IFERROR(VLOOKUP(A22,Oxides!$A$2:$G$39,7,FALSE),0)</f>
        <v>0.39900000000000002</v>
      </c>
      <c r="D22" t="s">
        <v>685</v>
      </c>
      <c r="E22" s="188" cm="1">
        <f t="array" ref="E22">SUMPRODUCT(('Data for SPECIATE'!$C$5:$C$26='PM Protocol'!E$1)*('Data for SPECIATE'!$M$1:$AZ$1='PM Protocol'!$A22)*'Data for SPECIATE'!$M$5:$AZ$26)/VLOOKUP(E$1,'Data for SPECIATE'!$C$5:$L$26,10,FALSE)</f>
        <v>0</v>
      </c>
      <c r="F22" s="188" cm="1">
        <f t="array" ref="F22">SUMPRODUCT(('Data for SPECIATE'!$C$5:$C$26='PM Protocol'!F$1)*('Data for SPECIATE'!$M$1:$AZ$1='PM Protocol'!$A22)*'Data for SPECIATE'!$M$5:$AZ$26)/VLOOKUP(F$1,'Data for SPECIATE'!$C$5:$L$26,10,FALSE)</f>
        <v>0</v>
      </c>
      <c r="G22" s="188" cm="1">
        <f t="array" ref="G22">SUMPRODUCT(('Data for SPECIATE'!$C$5:$C$26='PM Protocol'!G$1)*('Data for SPECIATE'!$M$1:$AZ$1='PM Protocol'!$A22)*'Data for SPECIATE'!$M$5:$AZ$26)/VLOOKUP(G$1,'Data for SPECIATE'!$C$5:$L$26,10,FALSE)</f>
        <v>0</v>
      </c>
      <c r="H22" s="188" cm="1">
        <f t="array" ref="H22">SUMPRODUCT(('Data for SPECIATE'!$C$5:$C$26='PM Protocol'!H$1)*('Data for SPECIATE'!$M$1:$AZ$1='PM Protocol'!$A22)*'Data for SPECIATE'!$M$5:$AZ$26)/VLOOKUP(H$1,'Data for SPECIATE'!$C$5:$L$26,10,FALSE)</f>
        <v>0</v>
      </c>
      <c r="I22" s="188" cm="1">
        <f t="array" ref="I22">SUMPRODUCT(('Data for SPECIATE'!$C$5:$C$26='PM Protocol'!I$1)*('Data for SPECIATE'!$M$1:$AZ$1='PM Protocol'!$A22)*'Data for SPECIATE'!$M$5:$AZ$26)/VLOOKUP(I$1,'Data for SPECIATE'!$C$5:$L$26,10,FALSE)</f>
        <v>0</v>
      </c>
      <c r="J22" s="188" cm="1">
        <f t="array" ref="J22">SUMPRODUCT(('Data for SPECIATE'!$C$5:$C$26='PM Protocol'!J$1)*('Data for SPECIATE'!$M$1:$AZ$1='PM Protocol'!$A22)*'Data for SPECIATE'!$M$5:$AZ$26)/VLOOKUP(J$1,'Data for SPECIATE'!$C$5:$L$26,10,FALSE)</f>
        <v>0</v>
      </c>
      <c r="K22" s="188" cm="1">
        <f t="array" ref="K22">SUMPRODUCT(('Data for SPECIATE'!$C$5:$C$26='PM Protocol'!K$1)*('Data for SPECIATE'!$M$1:$AZ$1='PM Protocol'!$A22)*'Data for SPECIATE'!$M$5:$AZ$26)/VLOOKUP(K$1,'Data for SPECIATE'!$C$5:$L$26,10,FALSE)</f>
        <v>0</v>
      </c>
      <c r="L22" s="188" cm="1">
        <f t="array" ref="L22">SUMPRODUCT(('Data for SPECIATE'!$C$5:$C$26='PM Protocol'!L$1)*('Data for SPECIATE'!$M$1:$AZ$1='PM Protocol'!$A22)*'Data for SPECIATE'!$M$5:$AZ$26)/VLOOKUP(L$1,'Data for SPECIATE'!$C$5:$L$26,10,FALSE)</f>
        <v>0</v>
      </c>
      <c r="M22" s="188" cm="1">
        <f t="array" ref="M22">SUMPRODUCT(('Data for SPECIATE'!$C$5:$C$26='PM Protocol'!M$1)*('Data for SPECIATE'!$M$1:$AZ$1='PM Protocol'!$A22)*'Data for SPECIATE'!$M$5:$AZ$26)/VLOOKUP(M$1,'Data for SPECIATE'!$C$5:$L$26,10,FALSE)</f>
        <v>0</v>
      </c>
      <c r="N22" s="188" cm="1">
        <f t="array" ref="N22">SUMPRODUCT(('Data for SPECIATE'!$C$5:$C$26='PM Protocol'!N$1)*('Data for SPECIATE'!$M$1:$AZ$1='PM Protocol'!$A22)*'Data for SPECIATE'!$M$5:$AZ$26)/VLOOKUP(N$1,'Data for SPECIATE'!$C$5:$L$26,10,FALSE)</f>
        <v>0</v>
      </c>
      <c r="O22" s="188" cm="1">
        <f t="array" ref="O22">SUMPRODUCT(('Data for SPECIATE'!$C$5:$C$26='PM Protocol'!O$1)*('Data for SPECIATE'!$M$1:$AZ$1='PM Protocol'!$A22)*'Data for SPECIATE'!$M$5:$AZ$26)/VLOOKUP(O$1,'Data for SPECIATE'!$C$5:$L$26,10,FALSE)</f>
        <v>0</v>
      </c>
      <c r="P22" s="188" cm="1">
        <f t="array" ref="P22">SUMPRODUCT(('Data for SPECIATE'!$C$5:$C$26='PM Protocol'!P$1)*('Data for SPECIATE'!$M$1:$AZ$1='PM Protocol'!$A22)*'Data for SPECIATE'!$M$5:$AZ$26)/VLOOKUP(P$1,'Data for SPECIATE'!$C$5:$L$26,10,FALSE)</f>
        <v>0</v>
      </c>
      <c r="Q22" s="188" cm="1">
        <f t="array" ref="Q22">SUMPRODUCT(('Data for SPECIATE'!$C$5:$C$26='PM Protocol'!Q$1)*('Data for SPECIATE'!$M$1:$AZ$1='PM Protocol'!$A22)*'Data for SPECIATE'!$M$5:$AZ$26)/VLOOKUP(Q$1,'Data for SPECIATE'!$C$5:$L$26,10,FALSE)</f>
        <v>0</v>
      </c>
      <c r="R22" s="188" cm="1">
        <f t="array" ref="R22">SUMPRODUCT(('Data for SPECIATE'!$C$5:$C$26='PM Protocol'!R$1)*('Data for SPECIATE'!$M$1:$AZ$1='PM Protocol'!$A22)*'Data for SPECIATE'!$M$5:$AZ$26)/SUMPRODUCT(('Data for SPECIATE'!$C$5:$C$26='PM Protocol'!R$1)*'Data for SPECIATE'!$M$5:$AZ$26)</f>
        <v>0</v>
      </c>
      <c r="S22" s="188" cm="1">
        <f t="array" ref="S22">SUMPRODUCT(('Data for SPECIATE'!$C$5:$C$26='PM Protocol'!S$1)*('Data for SPECIATE'!$M$1:$AZ$1='PM Protocol'!$A22)*'Data for SPECIATE'!$M$5:$AZ$26)/VLOOKUP(S$1,'Data for SPECIATE'!$C$5:$L$26,10,FALSE)</f>
        <v>0</v>
      </c>
      <c r="T22" s="188" cm="1">
        <f t="array" ref="T22">SUMPRODUCT(('Data for SPECIATE'!$C$5:$C$26='PM Protocol'!T$1)*('Data for SPECIATE'!$M$1:$AZ$1='PM Protocol'!$A22)*'Data for SPECIATE'!$M$5:$AZ$26)/VLOOKUP(T$1,'Data for SPECIATE'!$C$5:$L$26,10,FALSE)</f>
        <v>0</v>
      </c>
      <c r="U22" s="188" cm="1">
        <f t="array" ref="U22">SUMPRODUCT(('Data for SPECIATE'!$C$5:$C$26='PM Protocol'!U$1)*('Data for SPECIATE'!$M$1:$AZ$1='PM Protocol'!$A22)*'Data for SPECIATE'!$M$5:$AZ$26)/VLOOKUP(U$1,'Data for SPECIATE'!$C$5:$L$26,10,FALSE)</f>
        <v>0</v>
      </c>
      <c r="V22" s="188" cm="1">
        <f t="array" ref="V22">SUMPRODUCT(('Data for SPECIATE'!$C$5:$C$26='PM Protocol'!V$1)*('Data for SPECIATE'!$M$1:$AZ$1='PM Protocol'!$A22)*'Data for SPECIATE'!$M$5:$AZ$26)/VLOOKUP(V$1,'Data for SPECIATE'!$C$5:$L$26,10,FALSE)</f>
        <v>0</v>
      </c>
      <c r="W22" s="188" cm="1">
        <f t="array" ref="W22">SUMPRODUCT(('Data for SPECIATE'!$C$5:$C$26='PM Protocol'!W$1)*('Data for SPECIATE'!$M$1:$AZ$1='PM Protocol'!$A22)*'Data for SPECIATE'!$M$5:$AZ$26)/VLOOKUP(W$1,'Data for SPECIATE'!$C$5:$L$26,10,FALSE)</f>
        <v>0</v>
      </c>
      <c r="X22" s="188" cm="1">
        <f t="array" ref="X22">SUMPRODUCT(('Data for SPECIATE'!$C$5:$C$26='PM Protocol'!X$1)*('Data for SPECIATE'!$M$1:$AZ$1='PM Protocol'!$A22)*'Data for SPECIATE'!$M$5:$AZ$26)/VLOOKUP(X$1,'Data for SPECIATE'!$C$5:$L$26,10,FALSE)</f>
        <v>0</v>
      </c>
      <c r="Y22" s="188" cm="1">
        <f t="array" ref="Y22">SUMPRODUCT(('Data for SPECIATE'!$C$5:$C$26='PM Protocol'!Y$1)*('Data for SPECIATE'!$M$1:$AZ$1='PM Protocol'!$A22)*'Data for SPECIATE'!$M$5:$AZ$26)/VLOOKUP(Y$1,'Data for SPECIATE'!$C$5:$L$26,10,FALSE)</f>
        <v>0</v>
      </c>
      <c r="Z22" s="188" cm="1">
        <f t="array" ref="Z22">SUMPRODUCT(('Data for SPECIATE'!$C$5:$C$26='PM Protocol'!Z$1)*('Data for SPECIATE'!$M$1:$AZ$1='PM Protocol'!$A22)*'Data for SPECIATE'!$M$5:$AZ$26)/VLOOKUP(Z$1,'Data for SPECIATE'!$C$5:$L$26,10,FALSE)</f>
        <v>0</v>
      </c>
    </row>
    <row r="23" spans="1:26">
      <c r="A23">
        <v>329</v>
      </c>
      <c r="B23" t="str">
        <f>HLOOKUP(A23,'Data for SPECIATE'!$M$1:$AZ$2,2,FALSE)</f>
        <v>XRF</v>
      </c>
      <c r="C23" s="191">
        <f>IFERROR(VLOOKUP(A23,Oxides!$A$2:$G$39,7,FALSE),0)</f>
        <v>0.39900000000000002</v>
      </c>
      <c r="D23" t="s">
        <v>685</v>
      </c>
      <c r="E23" s="188" cm="1">
        <f t="array" ref="E23">SUMPRODUCT(('Data for SPECIATE'!$C$5:$C$26='PM Protocol'!E$1)*('Data for SPECIATE'!$M$1:$AZ$1='PM Protocol'!$A23)*'Data for SPECIATE'!$M$5:$AZ$26)/VLOOKUP(E$1,'Data for SPECIATE'!$C$5:$L$26,10,FALSE)</f>
        <v>2.1466174628156708E-4</v>
      </c>
      <c r="F23" s="188" cm="1">
        <f t="array" ref="F23">SUMPRODUCT(('Data for SPECIATE'!$C$5:$C$26='PM Protocol'!F$1)*('Data for SPECIATE'!$M$1:$AZ$1='PM Protocol'!$A23)*'Data for SPECIATE'!$M$5:$AZ$26)/VLOOKUP(F$1,'Data for SPECIATE'!$C$5:$L$26,10,FALSE)</f>
        <v>6.2261518825494123E-4</v>
      </c>
      <c r="G23" s="188" cm="1">
        <f t="array" ref="G23">SUMPRODUCT(('Data for SPECIATE'!$C$5:$C$26='PM Protocol'!G$1)*('Data for SPECIATE'!$M$1:$AZ$1='PM Protocol'!$A23)*'Data for SPECIATE'!$M$5:$AZ$26)/VLOOKUP(G$1,'Data for SPECIATE'!$C$5:$L$26,10,FALSE)</f>
        <v>3.5429651452023819E-4</v>
      </c>
      <c r="H23" s="188" cm="1">
        <f t="array" ref="H23">SUMPRODUCT(('Data for SPECIATE'!$C$5:$C$26='PM Protocol'!H$1)*('Data for SPECIATE'!$M$1:$AZ$1='PM Protocol'!$A23)*'Data for SPECIATE'!$M$5:$AZ$26)/VLOOKUP(H$1,'Data for SPECIATE'!$C$5:$L$26,10,FALSE)</f>
        <v>5.5034939136716068E-4</v>
      </c>
      <c r="I23" s="188" cm="1">
        <f t="array" ref="I23">SUMPRODUCT(('Data for SPECIATE'!$C$5:$C$26='PM Protocol'!I$1)*('Data for SPECIATE'!$M$1:$AZ$1='PM Protocol'!$A23)*'Data for SPECIATE'!$M$5:$AZ$26)/VLOOKUP(I$1,'Data for SPECIATE'!$C$5:$L$26,10,FALSE)</f>
        <v>3.9045502937293079E-4</v>
      </c>
      <c r="J23" s="188" cm="1">
        <f t="array" ref="J23">SUMPRODUCT(('Data for SPECIATE'!$C$5:$C$26='PM Protocol'!J$1)*('Data for SPECIATE'!$M$1:$AZ$1='PM Protocol'!$A23)*'Data for SPECIATE'!$M$5:$AZ$26)/VLOOKUP(J$1,'Data for SPECIATE'!$C$5:$L$26,10,FALSE)</f>
        <v>6.4135786842302463E-4</v>
      </c>
      <c r="K23" s="188" cm="1">
        <f t="array" ref="K23">SUMPRODUCT(('Data for SPECIATE'!$C$5:$C$26='PM Protocol'!K$1)*('Data for SPECIATE'!$M$1:$AZ$1='PM Protocol'!$A23)*'Data for SPECIATE'!$M$5:$AZ$26)/VLOOKUP(K$1,'Data for SPECIATE'!$C$5:$L$26,10,FALSE)</f>
        <v>1.4805369290867072E-4</v>
      </c>
      <c r="L23" s="188" cm="1">
        <f t="array" ref="L23">SUMPRODUCT(('Data for SPECIATE'!$C$5:$C$26='PM Protocol'!L$1)*('Data for SPECIATE'!$M$1:$AZ$1='PM Protocol'!$A23)*'Data for SPECIATE'!$M$5:$AZ$26)/VLOOKUP(L$1,'Data for SPECIATE'!$C$5:$L$26,10,FALSE)</f>
        <v>3.3286664828943707E-4</v>
      </c>
      <c r="M23" s="188" cm="1">
        <f t="array" ref="M23">SUMPRODUCT(('Data for SPECIATE'!$C$5:$C$26='PM Protocol'!M$1)*('Data for SPECIATE'!$M$1:$AZ$1='PM Protocol'!$A23)*'Data for SPECIATE'!$M$5:$AZ$26)/VLOOKUP(M$1,'Data for SPECIATE'!$C$5:$L$26,10,FALSE)</f>
        <v>6.1042398306146374E-4</v>
      </c>
      <c r="N23" s="188" cm="1">
        <f t="array" ref="N23">SUMPRODUCT(('Data for SPECIATE'!$C$5:$C$26='PM Protocol'!N$1)*('Data for SPECIATE'!$M$1:$AZ$1='PM Protocol'!$A23)*'Data for SPECIATE'!$M$5:$AZ$26)/VLOOKUP(N$1,'Data for SPECIATE'!$C$5:$L$26,10,FALSE)</f>
        <v>1.4789775972334893E-4</v>
      </c>
      <c r="O23" s="188" cm="1">
        <f t="array" ref="O23">SUMPRODUCT(('Data for SPECIATE'!$C$5:$C$26='PM Protocol'!O$1)*('Data for SPECIATE'!$M$1:$AZ$1='PM Protocol'!$A23)*'Data for SPECIATE'!$M$5:$AZ$26)/VLOOKUP(O$1,'Data for SPECIATE'!$C$5:$L$26,10,FALSE)</f>
        <v>2.9711834771509833E-4</v>
      </c>
      <c r="P23" s="188" cm="1">
        <f t="array" ref="P23">SUMPRODUCT(('Data for SPECIATE'!$C$5:$C$26='PM Protocol'!P$1)*('Data for SPECIATE'!$M$1:$AZ$1='PM Protocol'!$A23)*'Data for SPECIATE'!$M$5:$AZ$26)/VLOOKUP(P$1,'Data for SPECIATE'!$C$5:$L$26,10,FALSE)</f>
        <v>4.6310746164924063E-4</v>
      </c>
      <c r="Q23" s="188" cm="1">
        <f t="array" ref="Q23">SUMPRODUCT(('Data for SPECIATE'!$C$5:$C$26='PM Protocol'!Q$1)*('Data for SPECIATE'!$M$1:$AZ$1='PM Protocol'!$A23)*'Data for SPECIATE'!$M$5:$AZ$26)/VLOOKUP(Q$1,'Data for SPECIATE'!$C$5:$L$26,10,FALSE)</f>
        <v>2.5843538255912843E-3</v>
      </c>
      <c r="R23" s="188" cm="1">
        <f t="array" ref="R23">SUMPRODUCT(('Data for SPECIATE'!$C$5:$C$26='PM Protocol'!R$1)*('Data for SPECIATE'!$M$1:$AZ$1='PM Protocol'!$A23)*'Data for SPECIATE'!$M$5:$AZ$26)/SUMPRODUCT(('Data for SPECIATE'!$C$5:$C$26='PM Protocol'!R$1)*'Data for SPECIATE'!$M$5:$AZ$26)</f>
        <v>1.1652595806263923E-3</v>
      </c>
      <c r="S23" s="188" cm="1">
        <f t="array" ref="S23">SUMPRODUCT(('Data for SPECIATE'!$C$5:$C$26='PM Protocol'!S$1)*('Data for SPECIATE'!$M$1:$AZ$1='PM Protocol'!$A23)*'Data for SPECIATE'!$M$5:$AZ$26)/VLOOKUP(S$1,'Data for SPECIATE'!$C$5:$L$26,10,FALSE)</f>
        <v>1.6226259734836995E-4</v>
      </c>
      <c r="T23" s="188" cm="1">
        <f t="array" ref="T23">SUMPRODUCT(('Data for SPECIATE'!$C$5:$C$26='PM Protocol'!T$1)*('Data for SPECIATE'!$M$1:$AZ$1='PM Protocol'!$A23)*'Data for SPECIATE'!$M$5:$AZ$26)/VLOOKUP(T$1,'Data for SPECIATE'!$C$5:$L$26,10,FALSE)</f>
        <v>0</v>
      </c>
      <c r="U23" s="188" cm="1">
        <f t="array" ref="U23">SUMPRODUCT(('Data for SPECIATE'!$C$5:$C$26='PM Protocol'!U$1)*('Data for SPECIATE'!$M$1:$AZ$1='PM Protocol'!$A23)*'Data for SPECIATE'!$M$5:$AZ$26)/VLOOKUP(U$1,'Data for SPECIATE'!$C$5:$L$26,10,FALSE)</f>
        <v>4.5583730426944098E-4</v>
      </c>
      <c r="V23" s="188" cm="1">
        <f t="array" ref="V23">SUMPRODUCT(('Data for SPECIATE'!$C$5:$C$26='PM Protocol'!V$1)*('Data for SPECIATE'!$M$1:$AZ$1='PM Protocol'!$A23)*'Data for SPECIATE'!$M$5:$AZ$26)/VLOOKUP(V$1,'Data for SPECIATE'!$C$5:$L$26,10,FALSE)</f>
        <v>0</v>
      </c>
      <c r="W23" s="188" cm="1">
        <f t="array" ref="W23">SUMPRODUCT(('Data for SPECIATE'!$C$5:$C$26='PM Protocol'!W$1)*('Data for SPECIATE'!$M$1:$AZ$1='PM Protocol'!$A23)*'Data for SPECIATE'!$M$5:$AZ$26)/VLOOKUP(W$1,'Data for SPECIATE'!$C$5:$L$26,10,FALSE)</f>
        <v>1.9377343064860773E-4</v>
      </c>
      <c r="X23" s="188" cm="1">
        <f t="array" ref="X23">SUMPRODUCT(('Data for SPECIATE'!$C$5:$C$26='PM Protocol'!X$1)*('Data for SPECIATE'!$M$1:$AZ$1='PM Protocol'!$A23)*'Data for SPECIATE'!$M$5:$AZ$26)/VLOOKUP(X$1,'Data for SPECIATE'!$C$5:$L$26,10,FALSE)</f>
        <v>0</v>
      </c>
      <c r="Y23" s="188" cm="1">
        <f t="array" ref="Y23">SUMPRODUCT(('Data for SPECIATE'!$C$5:$C$26='PM Protocol'!Y$1)*('Data for SPECIATE'!$M$1:$AZ$1='PM Protocol'!$A23)*'Data for SPECIATE'!$M$5:$AZ$26)/VLOOKUP(Y$1,'Data for SPECIATE'!$C$5:$L$26,10,FALSE)</f>
        <v>2.3592848703967527E-4</v>
      </c>
      <c r="Z23" s="188" cm="1">
        <f t="array" ref="Z23">SUMPRODUCT(('Data for SPECIATE'!$C$5:$C$26='PM Protocol'!Z$1)*('Data for SPECIATE'!$M$1:$AZ$1='PM Protocol'!$A23)*'Data for SPECIATE'!$M$5:$AZ$26)/VLOOKUP(Z$1,'Data for SPECIATE'!$C$5:$L$26,10,FALSE)</f>
        <v>0</v>
      </c>
    </row>
    <row r="24" spans="1:26">
      <c r="A24">
        <v>2772</v>
      </c>
      <c r="B24" t="s">
        <v>20</v>
      </c>
      <c r="C24" s="191">
        <f>IFERROR(VLOOKUP(A24,Oxides!$A$2:$G$39,7,FALSE),0)</f>
        <v>0.65800000000000003</v>
      </c>
      <c r="D24" t="s">
        <v>686</v>
      </c>
      <c r="E24" s="188" cm="1">
        <f t="array" ref="E24">SUMPRODUCT(('Data for SPECIATE'!$C$5:$C$26='PM Protocol'!E$1)*('Data for SPECIATE'!$M$1:$AZ$1='PM Protocol'!$A24)*'Data for SPECIATE'!$M$5:$AZ$26)/VLOOKUP(E$1,'Data for SPECIATE'!$C$5:$L$26,10,FALSE)</f>
        <v>0</v>
      </c>
      <c r="F24" s="188" cm="1">
        <f t="array" ref="F24">SUMPRODUCT(('Data for SPECIATE'!$C$5:$C$26='PM Protocol'!F$1)*('Data for SPECIATE'!$M$1:$AZ$1='PM Protocol'!$A24)*'Data for SPECIATE'!$M$5:$AZ$26)/VLOOKUP(F$1,'Data for SPECIATE'!$C$5:$L$26,10,FALSE)</f>
        <v>0</v>
      </c>
      <c r="G24" s="188" cm="1">
        <f t="array" ref="G24">SUMPRODUCT(('Data for SPECIATE'!$C$5:$C$26='PM Protocol'!G$1)*('Data for SPECIATE'!$M$1:$AZ$1='PM Protocol'!$A24)*'Data for SPECIATE'!$M$5:$AZ$26)/VLOOKUP(G$1,'Data for SPECIATE'!$C$5:$L$26,10,FALSE)</f>
        <v>0</v>
      </c>
      <c r="H24" s="188" cm="1">
        <f t="array" ref="H24">SUMPRODUCT(('Data for SPECIATE'!$C$5:$C$26='PM Protocol'!H$1)*('Data for SPECIATE'!$M$1:$AZ$1='PM Protocol'!$A24)*'Data for SPECIATE'!$M$5:$AZ$26)/VLOOKUP(H$1,'Data for SPECIATE'!$C$5:$L$26,10,FALSE)</f>
        <v>0</v>
      </c>
      <c r="I24" s="188" cm="1">
        <f t="array" ref="I24">SUMPRODUCT(('Data for SPECIATE'!$C$5:$C$26='PM Protocol'!I$1)*('Data for SPECIATE'!$M$1:$AZ$1='PM Protocol'!$A24)*'Data for SPECIATE'!$M$5:$AZ$26)/VLOOKUP(I$1,'Data for SPECIATE'!$C$5:$L$26,10,FALSE)</f>
        <v>0</v>
      </c>
      <c r="J24" s="188" cm="1">
        <f t="array" ref="J24">SUMPRODUCT(('Data for SPECIATE'!$C$5:$C$26='PM Protocol'!J$1)*('Data for SPECIATE'!$M$1:$AZ$1='PM Protocol'!$A24)*'Data for SPECIATE'!$M$5:$AZ$26)/VLOOKUP(J$1,'Data for SPECIATE'!$C$5:$L$26,10,FALSE)</f>
        <v>0</v>
      </c>
      <c r="K24" s="188" cm="1">
        <f t="array" ref="K24">SUMPRODUCT(('Data for SPECIATE'!$C$5:$C$26='PM Protocol'!K$1)*('Data for SPECIATE'!$M$1:$AZ$1='PM Protocol'!$A24)*'Data for SPECIATE'!$M$5:$AZ$26)/VLOOKUP(K$1,'Data for SPECIATE'!$C$5:$L$26,10,FALSE)</f>
        <v>0</v>
      </c>
      <c r="L24" s="188" cm="1">
        <f t="array" ref="L24">SUMPRODUCT(('Data for SPECIATE'!$C$5:$C$26='PM Protocol'!L$1)*('Data for SPECIATE'!$M$1:$AZ$1='PM Protocol'!$A24)*'Data for SPECIATE'!$M$5:$AZ$26)/VLOOKUP(L$1,'Data for SPECIATE'!$C$5:$L$26,10,FALSE)</f>
        <v>0</v>
      </c>
      <c r="M24" s="188" cm="1">
        <f t="array" ref="M24">SUMPRODUCT(('Data for SPECIATE'!$C$5:$C$26='PM Protocol'!M$1)*('Data for SPECIATE'!$M$1:$AZ$1='PM Protocol'!$A24)*'Data for SPECIATE'!$M$5:$AZ$26)/VLOOKUP(M$1,'Data for SPECIATE'!$C$5:$L$26,10,FALSE)</f>
        <v>0</v>
      </c>
      <c r="N24" s="188" cm="1">
        <f t="array" ref="N24">SUMPRODUCT(('Data for SPECIATE'!$C$5:$C$26='PM Protocol'!N$1)*('Data for SPECIATE'!$M$1:$AZ$1='PM Protocol'!$A24)*'Data for SPECIATE'!$M$5:$AZ$26)/VLOOKUP(N$1,'Data for SPECIATE'!$C$5:$L$26,10,FALSE)</f>
        <v>0</v>
      </c>
      <c r="O24" s="188" cm="1">
        <f t="array" ref="O24">SUMPRODUCT(('Data for SPECIATE'!$C$5:$C$26='PM Protocol'!O$1)*('Data for SPECIATE'!$M$1:$AZ$1='PM Protocol'!$A24)*'Data for SPECIATE'!$M$5:$AZ$26)/VLOOKUP(O$1,'Data for SPECIATE'!$C$5:$L$26,10,FALSE)</f>
        <v>0</v>
      </c>
      <c r="P24" s="188" cm="1">
        <f t="array" ref="P24">SUMPRODUCT(('Data for SPECIATE'!$C$5:$C$26='PM Protocol'!P$1)*('Data for SPECIATE'!$M$1:$AZ$1='PM Protocol'!$A24)*'Data for SPECIATE'!$M$5:$AZ$26)/VLOOKUP(P$1,'Data for SPECIATE'!$C$5:$L$26,10,FALSE)</f>
        <v>0</v>
      </c>
      <c r="Q24" s="188" cm="1">
        <f t="array" ref="Q24">SUMPRODUCT(('Data for SPECIATE'!$C$5:$C$26='PM Protocol'!Q$1)*('Data for SPECIATE'!$M$1:$AZ$1='PM Protocol'!$A24)*'Data for SPECIATE'!$M$5:$AZ$26)/VLOOKUP(Q$1,'Data for SPECIATE'!$C$5:$L$26,10,FALSE)</f>
        <v>0</v>
      </c>
      <c r="R24" s="188" cm="1">
        <f t="array" ref="R24">SUMPRODUCT(('Data for SPECIATE'!$C$5:$C$26='PM Protocol'!R$1)*('Data for SPECIATE'!$M$1:$AZ$1='PM Protocol'!$A24)*'Data for SPECIATE'!$M$5:$AZ$26)/SUMPRODUCT(('Data for SPECIATE'!$C$5:$C$26='PM Protocol'!R$1)*'Data for SPECIATE'!$M$5:$AZ$26)</f>
        <v>0</v>
      </c>
      <c r="S24" s="188" cm="1">
        <f t="array" ref="S24">SUMPRODUCT(('Data for SPECIATE'!$C$5:$C$26='PM Protocol'!S$1)*('Data for SPECIATE'!$M$1:$AZ$1='PM Protocol'!$A24)*'Data for SPECIATE'!$M$5:$AZ$26)/VLOOKUP(S$1,'Data for SPECIATE'!$C$5:$L$26,10,FALSE)</f>
        <v>0</v>
      </c>
      <c r="T24" s="188" cm="1">
        <f t="array" ref="T24">SUMPRODUCT(('Data for SPECIATE'!$C$5:$C$26='PM Protocol'!T$1)*('Data for SPECIATE'!$M$1:$AZ$1='PM Protocol'!$A24)*'Data for SPECIATE'!$M$5:$AZ$26)/VLOOKUP(T$1,'Data for SPECIATE'!$C$5:$L$26,10,FALSE)</f>
        <v>0</v>
      </c>
      <c r="U24" s="188" cm="1">
        <f t="array" ref="U24">SUMPRODUCT(('Data for SPECIATE'!$C$5:$C$26='PM Protocol'!U$1)*('Data for SPECIATE'!$M$1:$AZ$1='PM Protocol'!$A24)*'Data for SPECIATE'!$M$5:$AZ$26)/VLOOKUP(U$1,'Data for SPECIATE'!$C$5:$L$26,10,FALSE)</f>
        <v>0</v>
      </c>
      <c r="V24" s="188" cm="1">
        <f t="array" ref="V24">SUMPRODUCT(('Data for SPECIATE'!$C$5:$C$26='PM Protocol'!V$1)*('Data for SPECIATE'!$M$1:$AZ$1='PM Protocol'!$A24)*'Data for SPECIATE'!$M$5:$AZ$26)/VLOOKUP(V$1,'Data for SPECIATE'!$C$5:$L$26,10,FALSE)</f>
        <v>0</v>
      </c>
      <c r="W24" s="188" cm="1">
        <f t="array" ref="W24">SUMPRODUCT(('Data for SPECIATE'!$C$5:$C$26='PM Protocol'!W$1)*('Data for SPECIATE'!$M$1:$AZ$1='PM Protocol'!$A24)*'Data for SPECIATE'!$M$5:$AZ$26)/VLOOKUP(W$1,'Data for SPECIATE'!$C$5:$L$26,10,FALSE)</f>
        <v>0</v>
      </c>
      <c r="X24" s="188" cm="1">
        <f t="array" ref="X24">SUMPRODUCT(('Data for SPECIATE'!$C$5:$C$26='PM Protocol'!X$1)*('Data for SPECIATE'!$M$1:$AZ$1='PM Protocol'!$A24)*'Data for SPECIATE'!$M$5:$AZ$26)/VLOOKUP(X$1,'Data for SPECIATE'!$C$5:$L$26,10,FALSE)</f>
        <v>0</v>
      </c>
      <c r="Y24" s="188" cm="1">
        <f t="array" ref="Y24">SUMPRODUCT(('Data for SPECIATE'!$C$5:$C$26='PM Protocol'!Y$1)*('Data for SPECIATE'!$M$1:$AZ$1='PM Protocol'!$A24)*'Data for SPECIATE'!$M$5:$AZ$26)/VLOOKUP(Y$1,'Data for SPECIATE'!$C$5:$L$26,10,FALSE)</f>
        <v>0</v>
      </c>
      <c r="Z24" s="188" cm="1">
        <f t="array" ref="Z24">SUMPRODUCT(('Data for SPECIATE'!$C$5:$C$26='PM Protocol'!Z$1)*('Data for SPECIATE'!$M$1:$AZ$1='PM Protocol'!$A24)*'Data for SPECIATE'!$M$5:$AZ$26)/VLOOKUP(Z$1,'Data for SPECIATE'!$C$5:$L$26,10,FALSE)</f>
        <v>0</v>
      </c>
    </row>
    <row r="25" spans="1:26">
      <c r="A25">
        <v>525</v>
      </c>
      <c r="B25" t="str">
        <f>HLOOKUP(A25,'Data for SPECIATE'!$M$1:$AZ$2,2,FALSE)</f>
        <v>XRF</v>
      </c>
      <c r="C25" s="191">
        <f>IFERROR(VLOOKUP(A25,Oxides!$A$2:$G$39,7,FALSE),0)</f>
        <v>0.65800000000000003</v>
      </c>
      <c r="D25" t="s">
        <v>686</v>
      </c>
      <c r="E25" s="188" cm="1">
        <f t="array" ref="E25">SUMPRODUCT(('Data for SPECIATE'!$C$5:$C$26='PM Protocol'!E$1)*('Data for SPECIATE'!$M$1:$AZ$1='PM Protocol'!$A25)*'Data for SPECIATE'!$M$5:$AZ$26)/VLOOKUP(E$1,'Data for SPECIATE'!$C$5:$L$26,10,FALSE)</f>
        <v>0</v>
      </c>
      <c r="F25" s="188" cm="1">
        <f t="array" ref="F25">SUMPRODUCT(('Data for SPECIATE'!$C$5:$C$26='PM Protocol'!F$1)*('Data for SPECIATE'!$M$1:$AZ$1='PM Protocol'!$A25)*'Data for SPECIATE'!$M$5:$AZ$26)/VLOOKUP(F$1,'Data for SPECIATE'!$C$5:$L$26,10,FALSE)</f>
        <v>0</v>
      </c>
      <c r="G25" s="188" cm="1">
        <f t="array" ref="G25">SUMPRODUCT(('Data for SPECIATE'!$C$5:$C$26='PM Protocol'!G$1)*('Data for SPECIATE'!$M$1:$AZ$1='PM Protocol'!$A25)*'Data for SPECIATE'!$M$5:$AZ$26)/VLOOKUP(G$1,'Data for SPECIATE'!$C$5:$L$26,10,FALSE)</f>
        <v>0</v>
      </c>
      <c r="H25" s="188" cm="1">
        <f t="array" ref="H25">SUMPRODUCT(('Data for SPECIATE'!$C$5:$C$26='PM Protocol'!H$1)*('Data for SPECIATE'!$M$1:$AZ$1='PM Protocol'!$A25)*'Data for SPECIATE'!$M$5:$AZ$26)/VLOOKUP(H$1,'Data for SPECIATE'!$C$5:$L$26,10,FALSE)</f>
        <v>0</v>
      </c>
      <c r="I25" s="188" cm="1">
        <f t="array" ref="I25">SUMPRODUCT(('Data for SPECIATE'!$C$5:$C$26='PM Protocol'!I$1)*('Data for SPECIATE'!$M$1:$AZ$1='PM Protocol'!$A25)*'Data for SPECIATE'!$M$5:$AZ$26)/VLOOKUP(I$1,'Data for SPECIATE'!$C$5:$L$26,10,FALSE)</f>
        <v>4.5975173229270434E-4</v>
      </c>
      <c r="J25" s="188" cm="1">
        <f t="array" ref="J25">SUMPRODUCT(('Data for SPECIATE'!$C$5:$C$26='PM Protocol'!J$1)*('Data for SPECIATE'!$M$1:$AZ$1='PM Protocol'!$A25)*'Data for SPECIATE'!$M$5:$AZ$26)/VLOOKUP(J$1,'Data for SPECIATE'!$C$5:$L$26,10,FALSE)</f>
        <v>5.6629735484377383E-5</v>
      </c>
      <c r="K25" s="188" cm="1">
        <f t="array" ref="K25">SUMPRODUCT(('Data for SPECIATE'!$C$5:$C$26='PM Protocol'!K$1)*('Data for SPECIATE'!$M$1:$AZ$1='PM Protocol'!$A25)*'Data for SPECIATE'!$M$5:$AZ$26)/VLOOKUP(K$1,'Data for SPECIATE'!$C$5:$L$26,10,FALSE)</f>
        <v>0</v>
      </c>
      <c r="L25" s="188" cm="1">
        <f t="array" ref="L25">SUMPRODUCT(('Data for SPECIATE'!$C$5:$C$26='PM Protocol'!L$1)*('Data for SPECIATE'!$M$1:$AZ$1='PM Protocol'!$A25)*'Data for SPECIATE'!$M$5:$AZ$26)/VLOOKUP(L$1,'Data for SPECIATE'!$C$5:$L$26,10,FALSE)</f>
        <v>0</v>
      </c>
      <c r="M25" s="188" cm="1">
        <f t="array" ref="M25">SUMPRODUCT(('Data for SPECIATE'!$C$5:$C$26='PM Protocol'!M$1)*('Data for SPECIATE'!$M$1:$AZ$1='PM Protocol'!$A25)*'Data for SPECIATE'!$M$5:$AZ$26)/VLOOKUP(M$1,'Data for SPECIATE'!$C$5:$L$26,10,FALSE)</f>
        <v>0</v>
      </c>
      <c r="N25" s="188" cm="1">
        <f t="array" ref="N25">SUMPRODUCT(('Data for SPECIATE'!$C$5:$C$26='PM Protocol'!N$1)*('Data for SPECIATE'!$M$1:$AZ$1='PM Protocol'!$A25)*'Data for SPECIATE'!$M$5:$AZ$26)/VLOOKUP(N$1,'Data for SPECIATE'!$C$5:$L$26,10,FALSE)</f>
        <v>0</v>
      </c>
      <c r="O25" s="188" cm="1">
        <f t="array" ref="O25">SUMPRODUCT(('Data for SPECIATE'!$C$5:$C$26='PM Protocol'!O$1)*('Data for SPECIATE'!$M$1:$AZ$1='PM Protocol'!$A25)*'Data for SPECIATE'!$M$5:$AZ$26)/VLOOKUP(O$1,'Data for SPECIATE'!$C$5:$L$26,10,FALSE)</f>
        <v>9.3055403310593854E-6</v>
      </c>
      <c r="P25" s="188" cm="1">
        <f t="array" ref="P25">SUMPRODUCT(('Data for SPECIATE'!$C$5:$C$26='PM Protocol'!P$1)*('Data for SPECIATE'!$M$1:$AZ$1='PM Protocol'!$A25)*'Data for SPECIATE'!$M$5:$AZ$26)/VLOOKUP(P$1,'Data for SPECIATE'!$C$5:$L$26,10,FALSE)</f>
        <v>0</v>
      </c>
      <c r="Q25" s="188" cm="1">
        <f t="array" ref="Q25">SUMPRODUCT(('Data for SPECIATE'!$C$5:$C$26='PM Protocol'!Q$1)*('Data for SPECIATE'!$M$1:$AZ$1='PM Protocol'!$A25)*'Data for SPECIATE'!$M$5:$AZ$26)/VLOOKUP(Q$1,'Data for SPECIATE'!$C$5:$L$26,10,FALSE)</f>
        <v>0</v>
      </c>
      <c r="R25" s="188" cm="1">
        <f t="array" ref="R25">SUMPRODUCT(('Data for SPECIATE'!$C$5:$C$26='PM Protocol'!R$1)*('Data for SPECIATE'!$M$1:$AZ$1='PM Protocol'!$A25)*'Data for SPECIATE'!$M$5:$AZ$26)/SUMPRODUCT(('Data for SPECIATE'!$C$5:$C$26='PM Protocol'!R$1)*'Data for SPECIATE'!$M$5:$AZ$26)</f>
        <v>0</v>
      </c>
      <c r="S25" s="188" cm="1">
        <f t="array" ref="S25">SUMPRODUCT(('Data for SPECIATE'!$C$5:$C$26='PM Protocol'!S$1)*('Data for SPECIATE'!$M$1:$AZ$1='PM Protocol'!$A25)*'Data for SPECIATE'!$M$5:$AZ$26)/VLOOKUP(S$1,'Data for SPECIATE'!$C$5:$L$26,10,FALSE)</f>
        <v>0</v>
      </c>
      <c r="T25" s="188" cm="1">
        <f t="array" ref="T25">SUMPRODUCT(('Data for SPECIATE'!$C$5:$C$26='PM Protocol'!T$1)*('Data for SPECIATE'!$M$1:$AZ$1='PM Protocol'!$A25)*'Data for SPECIATE'!$M$5:$AZ$26)/VLOOKUP(T$1,'Data for SPECIATE'!$C$5:$L$26,10,FALSE)</f>
        <v>0</v>
      </c>
      <c r="U25" s="188" cm="1">
        <f t="array" ref="U25">SUMPRODUCT(('Data for SPECIATE'!$C$5:$C$26='PM Protocol'!U$1)*('Data for SPECIATE'!$M$1:$AZ$1='PM Protocol'!$A25)*'Data for SPECIATE'!$M$5:$AZ$26)/VLOOKUP(U$1,'Data for SPECIATE'!$C$5:$L$26,10,FALSE)</f>
        <v>0</v>
      </c>
      <c r="V25" s="188" cm="1">
        <f t="array" ref="V25">SUMPRODUCT(('Data for SPECIATE'!$C$5:$C$26='PM Protocol'!V$1)*('Data for SPECIATE'!$M$1:$AZ$1='PM Protocol'!$A25)*'Data for SPECIATE'!$M$5:$AZ$26)/VLOOKUP(V$1,'Data for SPECIATE'!$C$5:$L$26,10,FALSE)</f>
        <v>0</v>
      </c>
      <c r="W25" s="188" cm="1">
        <f t="array" ref="W25">SUMPRODUCT(('Data for SPECIATE'!$C$5:$C$26='PM Protocol'!W$1)*('Data for SPECIATE'!$M$1:$AZ$1='PM Protocol'!$A25)*'Data for SPECIATE'!$M$5:$AZ$26)/VLOOKUP(W$1,'Data for SPECIATE'!$C$5:$L$26,10,FALSE)</f>
        <v>1.5643391818230787E-4</v>
      </c>
      <c r="X25" s="188" cm="1">
        <f t="array" ref="X25">SUMPRODUCT(('Data for SPECIATE'!$C$5:$C$26='PM Protocol'!X$1)*('Data for SPECIATE'!$M$1:$AZ$1='PM Protocol'!$A25)*'Data for SPECIATE'!$M$5:$AZ$26)/VLOOKUP(X$1,'Data for SPECIATE'!$C$5:$L$26,10,FALSE)</f>
        <v>6.9291486788908231E-4</v>
      </c>
      <c r="Y25" s="188" cm="1">
        <f t="array" ref="Y25">SUMPRODUCT(('Data for SPECIATE'!$C$5:$C$26='PM Protocol'!Y$1)*('Data for SPECIATE'!$M$1:$AZ$1='PM Protocol'!$A25)*'Data for SPECIATE'!$M$5:$AZ$26)/VLOOKUP(Y$1,'Data for SPECIATE'!$C$5:$L$26,10,FALSE)</f>
        <v>0</v>
      </c>
      <c r="Z25" s="188" cm="1">
        <f t="array" ref="Z25">SUMPRODUCT(('Data for SPECIATE'!$C$5:$C$26='PM Protocol'!Z$1)*('Data for SPECIATE'!$M$1:$AZ$1='PM Protocol'!$A25)*'Data for SPECIATE'!$M$5:$AZ$26)/VLOOKUP(Z$1,'Data for SPECIATE'!$C$5:$L$26,10,FALSE)</f>
        <v>0</v>
      </c>
    </row>
    <row r="26" spans="1:26">
      <c r="A26">
        <v>2302</v>
      </c>
      <c r="B26" t="s">
        <v>20</v>
      </c>
      <c r="C26" s="191">
        <f>IFERROR(VLOOKUP(A26,Oxides!$A$2:$G$39,7,FALSE),0)</f>
        <v>0.20499999999999999</v>
      </c>
      <c r="D26" t="s">
        <v>687</v>
      </c>
      <c r="E26" s="188" cm="1">
        <f t="array" ref="E26">SUMPRODUCT(('Data for SPECIATE'!$C$5:$C$26='PM Protocol'!E$1)*('Data for SPECIATE'!$M$1:$AZ$1='PM Protocol'!$A26)*'Data for SPECIATE'!$M$5:$AZ$26)/VLOOKUP(E$1,'Data for SPECIATE'!$C$5:$L$26,10,FALSE)</f>
        <v>0</v>
      </c>
      <c r="F26" s="188" cm="1">
        <f t="array" ref="F26">SUMPRODUCT(('Data for SPECIATE'!$C$5:$C$26='PM Protocol'!F$1)*('Data for SPECIATE'!$M$1:$AZ$1='PM Protocol'!$A26)*'Data for SPECIATE'!$M$5:$AZ$26)/VLOOKUP(F$1,'Data for SPECIATE'!$C$5:$L$26,10,FALSE)</f>
        <v>0</v>
      </c>
      <c r="G26" s="188" cm="1">
        <f t="array" ref="G26">SUMPRODUCT(('Data for SPECIATE'!$C$5:$C$26='PM Protocol'!G$1)*('Data for SPECIATE'!$M$1:$AZ$1='PM Protocol'!$A26)*'Data for SPECIATE'!$M$5:$AZ$26)/VLOOKUP(G$1,'Data for SPECIATE'!$C$5:$L$26,10,FALSE)</f>
        <v>0</v>
      </c>
      <c r="H26" s="188" cm="1">
        <f t="array" ref="H26">SUMPRODUCT(('Data for SPECIATE'!$C$5:$C$26='PM Protocol'!H$1)*('Data for SPECIATE'!$M$1:$AZ$1='PM Protocol'!$A26)*'Data for SPECIATE'!$M$5:$AZ$26)/VLOOKUP(H$1,'Data for SPECIATE'!$C$5:$L$26,10,FALSE)</f>
        <v>0</v>
      </c>
      <c r="I26" s="188" cm="1">
        <f t="array" ref="I26">SUMPRODUCT(('Data for SPECIATE'!$C$5:$C$26='PM Protocol'!I$1)*('Data for SPECIATE'!$M$1:$AZ$1='PM Protocol'!$A26)*'Data for SPECIATE'!$M$5:$AZ$26)/VLOOKUP(I$1,'Data for SPECIATE'!$C$5:$L$26,10,FALSE)</f>
        <v>0</v>
      </c>
      <c r="J26" s="188" cm="1">
        <f t="array" ref="J26">SUMPRODUCT(('Data for SPECIATE'!$C$5:$C$26='PM Protocol'!J$1)*('Data for SPECIATE'!$M$1:$AZ$1='PM Protocol'!$A26)*'Data for SPECIATE'!$M$5:$AZ$26)/VLOOKUP(J$1,'Data for SPECIATE'!$C$5:$L$26,10,FALSE)</f>
        <v>0</v>
      </c>
      <c r="K26" s="188" cm="1">
        <f t="array" ref="K26">SUMPRODUCT(('Data for SPECIATE'!$C$5:$C$26='PM Protocol'!K$1)*('Data for SPECIATE'!$M$1:$AZ$1='PM Protocol'!$A26)*'Data for SPECIATE'!$M$5:$AZ$26)/VLOOKUP(K$1,'Data for SPECIATE'!$C$5:$L$26,10,FALSE)</f>
        <v>0</v>
      </c>
      <c r="L26" s="188" cm="1">
        <f t="array" ref="L26">SUMPRODUCT(('Data for SPECIATE'!$C$5:$C$26='PM Protocol'!L$1)*('Data for SPECIATE'!$M$1:$AZ$1='PM Protocol'!$A26)*'Data for SPECIATE'!$M$5:$AZ$26)/VLOOKUP(L$1,'Data for SPECIATE'!$C$5:$L$26,10,FALSE)</f>
        <v>0</v>
      </c>
      <c r="M26" s="188" cm="1">
        <f t="array" ref="M26">SUMPRODUCT(('Data for SPECIATE'!$C$5:$C$26='PM Protocol'!M$1)*('Data for SPECIATE'!$M$1:$AZ$1='PM Protocol'!$A26)*'Data for SPECIATE'!$M$5:$AZ$26)/VLOOKUP(M$1,'Data for SPECIATE'!$C$5:$L$26,10,FALSE)</f>
        <v>0</v>
      </c>
      <c r="N26" s="188" cm="1">
        <f t="array" ref="N26">SUMPRODUCT(('Data for SPECIATE'!$C$5:$C$26='PM Protocol'!N$1)*('Data for SPECIATE'!$M$1:$AZ$1='PM Protocol'!$A26)*'Data for SPECIATE'!$M$5:$AZ$26)/VLOOKUP(N$1,'Data for SPECIATE'!$C$5:$L$26,10,FALSE)</f>
        <v>0</v>
      </c>
      <c r="O26" s="188" cm="1">
        <f t="array" ref="O26">SUMPRODUCT(('Data for SPECIATE'!$C$5:$C$26='PM Protocol'!O$1)*('Data for SPECIATE'!$M$1:$AZ$1='PM Protocol'!$A26)*'Data for SPECIATE'!$M$5:$AZ$26)/VLOOKUP(O$1,'Data for SPECIATE'!$C$5:$L$26,10,FALSE)</f>
        <v>0</v>
      </c>
      <c r="P26" s="188" cm="1">
        <f t="array" ref="P26">SUMPRODUCT(('Data for SPECIATE'!$C$5:$C$26='PM Protocol'!P$1)*('Data for SPECIATE'!$M$1:$AZ$1='PM Protocol'!$A26)*'Data for SPECIATE'!$M$5:$AZ$26)/VLOOKUP(P$1,'Data for SPECIATE'!$C$5:$L$26,10,FALSE)</f>
        <v>0</v>
      </c>
      <c r="Q26" s="188" cm="1">
        <f t="array" ref="Q26">SUMPRODUCT(('Data for SPECIATE'!$C$5:$C$26='PM Protocol'!Q$1)*('Data for SPECIATE'!$M$1:$AZ$1='PM Protocol'!$A26)*'Data for SPECIATE'!$M$5:$AZ$26)/VLOOKUP(Q$1,'Data for SPECIATE'!$C$5:$L$26,10,FALSE)</f>
        <v>0</v>
      </c>
      <c r="R26" s="188" cm="1">
        <f t="array" ref="R26">SUMPRODUCT(('Data for SPECIATE'!$C$5:$C$26='PM Protocol'!R$1)*('Data for SPECIATE'!$M$1:$AZ$1='PM Protocol'!$A26)*'Data for SPECIATE'!$M$5:$AZ$26)/SUMPRODUCT(('Data for SPECIATE'!$C$5:$C$26='PM Protocol'!R$1)*'Data for SPECIATE'!$M$5:$AZ$26)</f>
        <v>0</v>
      </c>
      <c r="S26" s="188" cm="1">
        <f t="array" ref="S26">SUMPRODUCT(('Data for SPECIATE'!$C$5:$C$26='PM Protocol'!S$1)*('Data for SPECIATE'!$M$1:$AZ$1='PM Protocol'!$A26)*'Data for SPECIATE'!$M$5:$AZ$26)/VLOOKUP(S$1,'Data for SPECIATE'!$C$5:$L$26,10,FALSE)</f>
        <v>0</v>
      </c>
      <c r="T26" s="188" cm="1">
        <f t="array" ref="T26">SUMPRODUCT(('Data for SPECIATE'!$C$5:$C$26='PM Protocol'!T$1)*('Data for SPECIATE'!$M$1:$AZ$1='PM Protocol'!$A26)*'Data for SPECIATE'!$M$5:$AZ$26)/VLOOKUP(T$1,'Data for SPECIATE'!$C$5:$L$26,10,FALSE)</f>
        <v>0</v>
      </c>
      <c r="U26" s="188" cm="1">
        <f t="array" ref="U26">SUMPRODUCT(('Data for SPECIATE'!$C$5:$C$26='PM Protocol'!U$1)*('Data for SPECIATE'!$M$1:$AZ$1='PM Protocol'!$A26)*'Data for SPECIATE'!$M$5:$AZ$26)/VLOOKUP(U$1,'Data for SPECIATE'!$C$5:$L$26,10,FALSE)</f>
        <v>0</v>
      </c>
      <c r="V26" s="188" cm="1">
        <f t="array" ref="V26">SUMPRODUCT(('Data for SPECIATE'!$C$5:$C$26='PM Protocol'!V$1)*('Data for SPECIATE'!$M$1:$AZ$1='PM Protocol'!$A26)*'Data for SPECIATE'!$M$5:$AZ$26)/VLOOKUP(V$1,'Data for SPECIATE'!$C$5:$L$26,10,FALSE)</f>
        <v>0</v>
      </c>
      <c r="W26" s="188" cm="1">
        <f t="array" ref="W26">SUMPRODUCT(('Data for SPECIATE'!$C$5:$C$26='PM Protocol'!W$1)*('Data for SPECIATE'!$M$1:$AZ$1='PM Protocol'!$A26)*'Data for SPECIATE'!$M$5:$AZ$26)/VLOOKUP(W$1,'Data for SPECIATE'!$C$5:$L$26,10,FALSE)</f>
        <v>0</v>
      </c>
      <c r="X26" s="188" cm="1">
        <f t="array" ref="X26">SUMPRODUCT(('Data for SPECIATE'!$C$5:$C$26='PM Protocol'!X$1)*('Data for SPECIATE'!$M$1:$AZ$1='PM Protocol'!$A26)*'Data for SPECIATE'!$M$5:$AZ$26)/VLOOKUP(X$1,'Data for SPECIATE'!$C$5:$L$26,10,FALSE)</f>
        <v>0</v>
      </c>
      <c r="Y26" s="188" cm="1">
        <f t="array" ref="Y26">SUMPRODUCT(('Data for SPECIATE'!$C$5:$C$26='PM Protocol'!Y$1)*('Data for SPECIATE'!$M$1:$AZ$1='PM Protocol'!$A26)*'Data for SPECIATE'!$M$5:$AZ$26)/VLOOKUP(Y$1,'Data for SPECIATE'!$C$5:$L$26,10,FALSE)</f>
        <v>0</v>
      </c>
      <c r="Z26" s="188" cm="1">
        <f t="array" ref="Z26">SUMPRODUCT(('Data for SPECIATE'!$C$5:$C$26='PM Protocol'!Z$1)*('Data for SPECIATE'!$M$1:$AZ$1='PM Protocol'!$A26)*'Data for SPECIATE'!$M$5:$AZ$26)/VLOOKUP(Z$1,'Data for SPECIATE'!$C$5:$L$26,10,FALSE)</f>
        <v>0</v>
      </c>
    </row>
    <row r="27" spans="1:26">
      <c r="A27">
        <v>669</v>
      </c>
      <c r="B27" t="str">
        <f>HLOOKUP(A27,'Data for SPECIATE'!$M$1:$AZ$2,2,FALSE)</f>
        <v>XRF</v>
      </c>
      <c r="C27" s="191">
        <f>IFERROR(VLOOKUP(A27,Oxides!$A$2:$G$39,7,FALSE),0)</f>
        <v>0.20499999999999999</v>
      </c>
      <c r="D27" t="s">
        <v>687</v>
      </c>
      <c r="E27" s="188" cm="1">
        <f t="array" ref="E27">SUMPRODUCT(('Data for SPECIATE'!$C$5:$C$26='PM Protocol'!E$1)*('Data for SPECIATE'!$M$1:$AZ$1='PM Protocol'!$A27)*'Data for SPECIATE'!$M$5:$AZ$26)/VLOOKUP(E$1,'Data for SPECIATE'!$C$5:$L$26,10,FALSE)</f>
        <v>1.3645280856142651E-3</v>
      </c>
      <c r="F27" s="188" cm="1">
        <f t="array" ref="F27">SUMPRODUCT(('Data for SPECIATE'!$C$5:$C$26='PM Protocol'!F$1)*('Data for SPECIATE'!$M$1:$AZ$1='PM Protocol'!$A27)*'Data for SPECIATE'!$M$5:$AZ$26)/VLOOKUP(F$1,'Data for SPECIATE'!$C$5:$L$26,10,FALSE)</f>
        <v>4.914696045485183E-3</v>
      </c>
      <c r="G27" s="188" cm="1">
        <f t="array" ref="G27">SUMPRODUCT(('Data for SPECIATE'!$C$5:$C$26='PM Protocol'!G$1)*('Data for SPECIATE'!$M$1:$AZ$1='PM Protocol'!$A27)*'Data for SPECIATE'!$M$5:$AZ$26)/VLOOKUP(G$1,'Data for SPECIATE'!$C$5:$L$26,10,FALSE)</f>
        <v>1.7657640005427262E-3</v>
      </c>
      <c r="H27" s="188" cm="1">
        <f t="array" ref="H27">SUMPRODUCT(('Data for SPECIATE'!$C$5:$C$26='PM Protocol'!H$1)*('Data for SPECIATE'!$M$1:$AZ$1='PM Protocol'!$A27)*'Data for SPECIATE'!$M$5:$AZ$26)/VLOOKUP(H$1,'Data for SPECIATE'!$C$5:$L$26,10,FALSE)</f>
        <v>5.5046077390432675E-3</v>
      </c>
      <c r="I27" s="188" cm="1">
        <f t="array" ref="I27">SUMPRODUCT(('Data for SPECIATE'!$C$5:$C$26='PM Protocol'!I$1)*('Data for SPECIATE'!$M$1:$AZ$1='PM Protocol'!$A27)*'Data for SPECIATE'!$M$5:$AZ$26)/VLOOKUP(I$1,'Data for SPECIATE'!$C$5:$L$26,10,FALSE)</f>
        <v>1.8282474667215116E-3</v>
      </c>
      <c r="J27" s="188" cm="1">
        <f t="array" ref="J27">SUMPRODUCT(('Data for SPECIATE'!$C$5:$C$26='PM Protocol'!J$1)*('Data for SPECIATE'!$M$1:$AZ$1='PM Protocol'!$A27)*'Data for SPECIATE'!$M$5:$AZ$26)/VLOOKUP(J$1,'Data for SPECIATE'!$C$5:$L$26,10,FALSE)</f>
        <v>2.1197928360059785E-3</v>
      </c>
      <c r="K27" s="188" cm="1">
        <f t="array" ref="K27">SUMPRODUCT(('Data for SPECIATE'!$C$5:$C$26='PM Protocol'!K$1)*('Data for SPECIATE'!$M$1:$AZ$1='PM Protocol'!$A27)*'Data for SPECIATE'!$M$5:$AZ$26)/VLOOKUP(K$1,'Data for SPECIATE'!$C$5:$L$26,10,FALSE)</f>
        <v>8.2121127199276031E-4</v>
      </c>
      <c r="L27" s="188" cm="1">
        <f t="array" ref="L27">SUMPRODUCT(('Data for SPECIATE'!$C$5:$C$26='PM Protocol'!L$1)*('Data for SPECIATE'!$M$1:$AZ$1='PM Protocol'!$A27)*'Data for SPECIATE'!$M$5:$AZ$26)/VLOOKUP(L$1,'Data for SPECIATE'!$C$5:$L$26,10,FALSE)</f>
        <v>5.5265991232371402E-3</v>
      </c>
      <c r="M27" s="188" cm="1">
        <f t="array" ref="M27">SUMPRODUCT(('Data for SPECIATE'!$C$5:$C$26='PM Protocol'!M$1)*('Data for SPECIATE'!$M$1:$AZ$1='PM Protocol'!$A27)*'Data for SPECIATE'!$M$5:$AZ$26)/VLOOKUP(M$1,'Data for SPECIATE'!$C$5:$L$26,10,FALSE)</f>
        <v>1.8567777541071183E-3</v>
      </c>
      <c r="N27" s="188" cm="1">
        <f t="array" ref="N27">SUMPRODUCT(('Data for SPECIATE'!$C$5:$C$26='PM Protocol'!N$1)*('Data for SPECIATE'!$M$1:$AZ$1='PM Protocol'!$A27)*'Data for SPECIATE'!$M$5:$AZ$26)/VLOOKUP(N$1,'Data for SPECIATE'!$C$5:$L$26,10,FALSE)</f>
        <v>9.9298583444625693E-4</v>
      </c>
      <c r="O27" s="188" cm="1">
        <f t="array" ref="O27">SUMPRODUCT(('Data for SPECIATE'!$C$5:$C$26='PM Protocol'!O$1)*('Data for SPECIATE'!$M$1:$AZ$1='PM Protocol'!$A27)*'Data for SPECIATE'!$M$5:$AZ$26)/VLOOKUP(O$1,'Data for SPECIATE'!$C$5:$L$26,10,FALSE)</f>
        <v>1.5096569623717698E-3</v>
      </c>
      <c r="P27" s="188" cm="1">
        <f t="array" ref="P27">SUMPRODUCT(('Data for SPECIATE'!$C$5:$C$26='PM Protocol'!P$1)*('Data for SPECIATE'!$M$1:$AZ$1='PM Protocol'!$A27)*'Data for SPECIATE'!$M$5:$AZ$26)/VLOOKUP(P$1,'Data for SPECIATE'!$C$5:$L$26,10,FALSE)</f>
        <v>2.0268330867211607E-3</v>
      </c>
      <c r="Q27" s="188" cm="1">
        <f t="array" ref="Q27">SUMPRODUCT(('Data for SPECIATE'!$C$5:$C$26='PM Protocol'!Q$1)*('Data for SPECIATE'!$M$1:$AZ$1='PM Protocol'!$A27)*'Data for SPECIATE'!$M$5:$AZ$26)/VLOOKUP(Q$1,'Data for SPECIATE'!$C$5:$L$26,10,FALSE)</f>
        <v>6.4518346330169956E-3</v>
      </c>
      <c r="R27" s="188" cm="1">
        <f t="array" ref="R27">SUMPRODUCT(('Data for SPECIATE'!$C$5:$C$26='PM Protocol'!R$1)*('Data for SPECIATE'!$M$1:$AZ$1='PM Protocol'!$A27)*'Data for SPECIATE'!$M$5:$AZ$26)/SUMPRODUCT(('Data for SPECIATE'!$C$5:$C$26='PM Protocol'!R$1)*'Data for SPECIATE'!$M$5:$AZ$26)</f>
        <v>2.2519919976097778E-2</v>
      </c>
      <c r="S27" s="188" cm="1">
        <f t="array" ref="S27">SUMPRODUCT(('Data for SPECIATE'!$C$5:$C$26='PM Protocol'!S$1)*('Data for SPECIATE'!$M$1:$AZ$1='PM Protocol'!$A27)*'Data for SPECIATE'!$M$5:$AZ$26)/VLOOKUP(S$1,'Data for SPECIATE'!$C$5:$L$26,10,FALSE)</f>
        <v>1.3916067459327107E-3</v>
      </c>
      <c r="T27" s="188" cm="1">
        <f t="array" ref="T27">SUMPRODUCT(('Data for SPECIATE'!$C$5:$C$26='PM Protocol'!T$1)*('Data for SPECIATE'!$M$1:$AZ$1='PM Protocol'!$A27)*'Data for SPECIATE'!$M$5:$AZ$26)/VLOOKUP(T$1,'Data for SPECIATE'!$C$5:$L$26,10,FALSE)</f>
        <v>1.7001284177628338E-2</v>
      </c>
      <c r="U27" s="188" cm="1">
        <f t="array" ref="U27">SUMPRODUCT(('Data for SPECIATE'!$C$5:$C$26='PM Protocol'!U$1)*('Data for SPECIATE'!$M$1:$AZ$1='PM Protocol'!$A27)*'Data for SPECIATE'!$M$5:$AZ$26)/VLOOKUP(U$1,'Data for SPECIATE'!$C$5:$L$26,10,FALSE)</f>
        <v>9.5691549629909505E-4</v>
      </c>
      <c r="V27" s="188" cm="1">
        <f t="array" ref="V27">SUMPRODUCT(('Data for SPECIATE'!$C$5:$C$26='PM Protocol'!V$1)*('Data for SPECIATE'!$M$1:$AZ$1='PM Protocol'!$A27)*'Data for SPECIATE'!$M$5:$AZ$26)/VLOOKUP(V$1,'Data for SPECIATE'!$C$5:$L$26,10,FALSE)</f>
        <v>1.6271951338008871E-2</v>
      </c>
      <c r="W27" s="188" cm="1">
        <f t="array" ref="W27">SUMPRODUCT(('Data for SPECIATE'!$C$5:$C$26='PM Protocol'!W$1)*('Data for SPECIATE'!$M$1:$AZ$1='PM Protocol'!$A27)*'Data for SPECIATE'!$M$5:$AZ$26)/VLOOKUP(W$1,'Data for SPECIATE'!$C$5:$L$26,10,FALSE)</f>
        <v>2.1785928626279491E-3</v>
      </c>
      <c r="X27" s="188" cm="1">
        <f t="array" ref="X27">SUMPRODUCT(('Data for SPECIATE'!$C$5:$C$26='PM Protocol'!X$1)*('Data for SPECIATE'!$M$1:$AZ$1='PM Protocol'!$A27)*'Data for SPECIATE'!$M$5:$AZ$26)/VLOOKUP(X$1,'Data for SPECIATE'!$C$5:$L$26,10,FALSE)</f>
        <v>1.5511148549256988E-2</v>
      </c>
      <c r="Y27" s="188" cm="1">
        <f t="array" ref="Y27">SUMPRODUCT(('Data for SPECIATE'!$C$5:$C$26='PM Protocol'!Y$1)*('Data for SPECIATE'!$M$1:$AZ$1='PM Protocol'!$A27)*'Data for SPECIATE'!$M$5:$AZ$26)/VLOOKUP(Y$1,'Data for SPECIATE'!$C$5:$L$26,10,FALSE)</f>
        <v>5.3589103514821148E-3</v>
      </c>
      <c r="Z27" s="188" cm="1">
        <f t="array" ref="Z27">SUMPRODUCT(('Data for SPECIATE'!$C$5:$C$26='PM Protocol'!Z$1)*('Data for SPECIATE'!$M$1:$AZ$1='PM Protocol'!$A27)*'Data for SPECIATE'!$M$5:$AZ$26)/VLOOKUP(Z$1,'Data for SPECIATE'!$C$5:$L$26,10,FALSE)</f>
        <v>4.6402049345907349E-3</v>
      </c>
    </row>
    <row r="28" spans="1:26">
      <c r="A28">
        <v>526</v>
      </c>
      <c r="B28" t="str">
        <f>HLOOKUP(A28,'Data for SPECIATE'!$M$1:$AZ$2,2,FALSE)</f>
        <v>XRF</v>
      </c>
      <c r="C28" s="191">
        <f>IFERROR(VLOOKUP(A28,Oxides!$A$2:$G$39,7,FALSE),0)</f>
        <v>0.63100000000000001</v>
      </c>
      <c r="D28" t="s">
        <v>688</v>
      </c>
      <c r="E28" s="188" cm="1">
        <f t="array" ref="E28">SUMPRODUCT(('Data for SPECIATE'!$C$5:$C$26='PM Protocol'!E$1)*('Data for SPECIATE'!$M$1:$AZ$1='PM Protocol'!$A28)*'Data for SPECIATE'!$M$5:$AZ$26)/VLOOKUP(E$1,'Data for SPECIATE'!$C$5:$L$26,10,FALSE)</f>
        <v>1.6837921629898573E-5</v>
      </c>
      <c r="F28" s="188" cm="1">
        <f t="array" ref="F28">SUMPRODUCT(('Data for SPECIATE'!$C$5:$C$26='PM Protocol'!F$1)*('Data for SPECIATE'!$M$1:$AZ$1='PM Protocol'!$A28)*'Data for SPECIATE'!$M$5:$AZ$26)/VLOOKUP(F$1,'Data for SPECIATE'!$C$5:$L$26,10,FALSE)</f>
        <v>9.5719340366561659E-6</v>
      </c>
      <c r="G28" s="188" cm="1">
        <f t="array" ref="G28">SUMPRODUCT(('Data for SPECIATE'!$C$5:$C$26='PM Protocol'!G$1)*('Data for SPECIATE'!$M$1:$AZ$1='PM Protocol'!$A28)*'Data for SPECIATE'!$M$5:$AZ$26)/VLOOKUP(G$1,'Data for SPECIATE'!$C$5:$L$26,10,FALSE)</f>
        <v>1.6219585940914493E-5</v>
      </c>
      <c r="H28" s="188" cm="1">
        <f t="array" ref="H28">SUMPRODUCT(('Data for SPECIATE'!$C$5:$C$26='PM Protocol'!H$1)*('Data for SPECIATE'!$M$1:$AZ$1='PM Protocol'!$A28)*'Data for SPECIATE'!$M$5:$AZ$26)/VLOOKUP(H$1,'Data for SPECIATE'!$C$5:$L$26,10,FALSE)</f>
        <v>2.4815856835891449E-5</v>
      </c>
      <c r="I28" s="188" cm="1">
        <f t="array" ref="I28">SUMPRODUCT(('Data for SPECIATE'!$C$5:$C$26='PM Protocol'!I$1)*('Data for SPECIATE'!$M$1:$AZ$1='PM Protocol'!$A28)*'Data for SPECIATE'!$M$5:$AZ$26)/VLOOKUP(I$1,'Data for SPECIATE'!$C$5:$L$26,10,FALSE)</f>
        <v>6.0796707846396525E-6</v>
      </c>
      <c r="J28" s="188" cm="1">
        <f t="array" ref="J28">SUMPRODUCT(('Data for SPECIATE'!$C$5:$C$26='PM Protocol'!J$1)*('Data for SPECIATE'!$M$1:$AZ$1='PM Protocol'!$A28)*'Data for SPECIATE'!$M$5:$AZ$26)/VLOOKUP(J$1,'Data for SPECIATE'!$C$5:$L$26,10,FALSE)</f>
        <v>0</v>
      </c>
      <c r="K28" s="188" cm="1">
        <f t="array" ref="K28">SUMPRODUCT(('Data for SPECIATE'!$C$5:$C$26='PM Protocol'!K$1)*('Data for SPECIATE'!$M$1:$AZ$1='PM Protocol'!$A28)*'Data for SPECIATE'!$M$5:$AZ$26)/VLOOKUP(K$1,'Data for SPECIATE'!$C$5:$L$26,10,FALSE)</f>
        <v>3.1153770063104881E-6</v>
      </c>
      <c r="L28" s="188" cm="1">
        <f t="array" ref="L28">SUMPRODUCT(('Data for SPECIATE'!$C$5:$C$26='PM Protocol'!L$1)*('Data for SPECIATE'!$M$1:$AZ$1='PM Protocol'!$A28)*'Data for SPECIATE'!$M$5:$AZ$26)/VLOOKUP(L$1,'Data for SPECIATE'!$C$5:$L$26,10,FALSE)</f>
        <v>5.5243209704684442E-6</v>
      </c>
      <c r="M28" s="188" cm="1">
        <f t="array" ref="M28">SUMPRODUCT(('Data for SPECIATE'!$C$5:$C$26='PM Protocol'!M$1)*('Data for SPECIATE'!$M$1:$AZ$1='PM Protocol'!$A28)*'Data for SPECIATE'!$M$5:$AZ$26)/VLOOKUP(M$1,'Data for SPECIATE'!$C$5:$L$26,10,FALSE)</f>
        <v>1.3481885311735224E-5</v>
      </c>
      <c r="N28" s="188" cm="1">
        <f t="array" ref="N28">SUMPRODUCT(('Data for SPECIATE'!$C$5:$C$26='PM Protocol'!N$1)*('Data for SPECIATE'!$M$1:$AZ$1='PM Protocol'!$A28)*'Data for SPECIATE'!$M$5:$AZ$26)/VLOOKUP(N$1,'Data for SPECIATE'!$C$5:$L$26,10,FALSE)</f>
        <v>4.003380442046456E-6</v>
      </c>
      <c r="O28" s="188" cm="1">
        <f t="array" ref="O28">SUMPRODUCT(('Data for SPECIATE'!$C$5:$C$26='PM Protocol'!O$1)*('Data for SPECIATE'!$M$1:$AZ$1='PM Protocol'!$A28)*'Data for SPECIATE'!$M$5:$AZ$26)/VLOOKUP(O$1,'Data for SPECIATE'!$C$5:$L$26,10,FALSE)</f>
        <v>0</v>
      </c>
      <c r="P28" s="188" cm="1">
        <f t="array" ref="P28">SUMPRODUCT(('Data for SPECIATE'!$C$5:$C$26='PM Protocol'!P$1)*('Data for SPECIATE'!$M$1:$AZ$1='PM Protocol'!$A28)*'Data for SPECIATE'!$M$5:$AZ$26)/VLOOKUP(P$1,'Data for SPECIATE'!$C$5:$L$26,10,FALSE)</f>
        <v>1.5637673068322573E-5</v>
      </c>
      <c r="Q28" s="188" cm="1">
        <f t="array" ref="Q28">SUMPRODUCT(('Data for SPECIATE'!$C$5:$C$26='PM Protocol'!Q$1)*('Data for SPECIATE'!$M$1:$AZ$1='PM Protocol'!$A28)*'Data for SPECIATE'!$M$5:$AZ$26)/VLOOKUP(Q$1,'Data for SPECIATE'!$C$5:$L$26,10,FALSE)</f>
        <v>1.2501163799670695E-5</v>
      </c>
      <c r="R28" s="188" cm="1">
        <f t="array" ref="R28">SUMPRODUCT(('Data for SPECIATE'!$C$5:$C$26='PM Protocol'!R$1)*('Data for SPECIATE'!$M$1:$AZ$1='PM Protocol'!$A28)*'Data for SPECIATE'!$M$5:$AZ$26)/SUMPRODUCT(('Data for SPECIATE'!$C$5:$C$26='PM Protocol'!R$1)*'Data for SPECIATE'!$M$5:$AZ$26)</f>
        <v>2.1273986303841664E-5</v>
      </c>
      <c r="S28" s="188" cm="1">
        <f t="array" ref="S28">SUMPRODUCT(('Data for SPECIATE'!$C$5:$C$26='PM Protocol'!S$1)*('Data for SPECIATE'!$M$1:$AZ$1='PM Protocol'!$A28)*'Data for SPECIATE'!$M$5:$AZ$26)/VLOOKUP(S$1,'Data for SPECIATE'!$C$5:$L$26,10,FALSE)</f>
        <v>2.0031768199179587E-5</v>
      </c>
      <c r="T28" s="188" cm="1">
        <f t="array" ref="T28">SUMPRODUCT(('Data for SPECIATE'!$C$5:$C$26='PM Protocol'!T$1)*('Data for SPECIATE'!$M$1:$AZ$1='PM Protocol'!$A28)*'Data for SPECIATE'!$M$5:$AZ$26)/VLOOKUP(T$1,'Data for SPECIATE'!$C$5:$L$26,10,FALSE)</f>
        <v>0</v>
      </c>
      <c r="U28" s="188" cm="1">
        <f t="array" ref="U28">SUMPRODUCT(('Data for SPECIATE'!$C$5:$C$26='PM Protocol'!U$1)*('Data for SPECIATE'!$M$1:$AZ$1='PM Protocol'!$A28)*'Data for SPECIATE'!$M$5:$AZ$26)/VLOOKUP(U$1,'Data for SPECIATE'!$C$5:$L$26,10,FALSE)</f>
        <v>5.2916186844880213E-6</v>
      </c>
      <c r="V28" s="188" cm="1">
        <f t="array" ref="V28">SUMPRODUCT(('Data for SPECIATE'!$C$5:$C$26='PM Protocol'!V$1)*('Data for SPECIATE'!$M$1:$AZ$1='PM Protocol'!$A28)*'Data for SPECIATE'!$M$5:$AZ$26)/VLOOKUP(V$1,'Data for SPECIATE'!$C$5:$L$26,10,FALSE)</f>
        <v>0</v>
      </c>
      <c r="W28" s="188" cm="1">
        <f t="array" ref="W28">SUMPRODUCT(('Data for SPECIATE'!$C$5:$C$26='PM Protocol'!W$1)*('Data for SPECIATE'!$M$1:$AZ$1='PM Protocol'!$A28)*'Data for SPECIATE'!$M$5:$AZ$26)/VLOOKUP(W$1,'Data for SPECIATE'!$C$5:$L$26,10,FALSE)</f>
        <v>5.6163941312416066E-5</v>
      </c>
      <c r="X28" s="188" cm="1">
        <f t="array" ref="X28">SUMPRODUCT(('Data for SPECIATE'!$C$5:$C$26='PM Protocol'!X$1)*('Data for SPECIATE'!$M$1:$AZ$1='PM Protocol'!$A28)*'Data for SPECIATE'!$M$5:$AZ$26)/VLOOKUP(X$1,'Data for SPECIATE'!$C$5:$L$26,10,FALSE)</f>
        <v>0</v>
      </c>
      <c r="Y28" s="188" cm="1">
        <f t="array" ref="Y28">SUMPRODUCT(('Data for SPECIATE'!$C$5:$C$26='PM Protocol'!Y$1)*('Data for SPECIATE'!$M$1:$AZ$1='PM Protocol'!$A28)*'Data for SPECIATE'!$M$5:$AZ$26)/VLOOKUP(Y$1,'Data for SPECIATE'!$C$5:$L$26,10,FALSE)</f>
        <v>0</v>
      </c>
      <c r="Z28" s="188" cm="1">
        <f t="array" ref="Z28">SUMPRODUCT(('Data for SPECIATE'!$C$5:$C$26='PM Protocol'!Z$1)*('Data for SPECIATE'!$M$1:$AZ$1='PM Protocol'!$A28)*'Data for SPECIATE'!$M$5:$AZ$26)/VLOOKUP(Z$1,'Data for SPECIATE'!$C$5:$L$26,10,FALSE)</f>
        <v>0</v>
      </c>
    </row>
    <row r="29" spans="1:26">
      <c r="A29">
        <v>696</v>
      </c>
      <c r="B29" t="str">
        <f>HLOOKUP(A29,'Data for SPECIATE'!$M$1:$AZ$2,2,FALSE)</f>
        <v>XRF</v>
      </c>
      <c r="C29" s="191">
        <f>IFERROR(VLOOKUP(A29,Oxides!$A$2:$G$39,7,FALSE),0)</f>
        <v>0.34799999999999998</v>
      </c>
      <c r="D29" t="s">
        <v>689</v>
      </c>
      <c r="E29" s="188" cm="1">
        <f t="array" ref="E29">SUMPRODUCT(('Data for SPECIATE'!$C$5:$C$26='PM Protocol'!E$1)*('Data for SPECIATE'!$M$1:$AZ$1='PM Protocol'!$A29)*'Data for SPECIATE'!$M$5:$AZ$26)/VLOOKUP(E$1,'Data for SPECIATE'!$C$5:$L$26,10,FALSE)</f>
        <v>1.9533796116349834E-4</v>
      </c>
      <c r="F29" s="188" cm="1">
        <f t="array" ref="F29">SUMPRODUCT(('Data for SPECIATE'!$C$5:$C$26='PM Protocol'!F$1)*('Data for SPECIATE'!$M$1:$AZ$1='PM Protocol'!$A29)*'Data for SPECIATE'!$M$5:$AZ$26)/VLOOKUP(F$1,'Data for SPECIATE'!$C$5:$L$26,10,FALSE)</f>
        <v>0</v>
      </c>
      <c r="G29" s="188" cm="1">
        <f t="array" ref="G29">SUMPRODUCT(('Data for SPECIATE'!$C$5:$C$26='PM Protocol'!G$1)*('Data for SPECIATE'!$M$1:$AZ$1='PM Protocol'!$A29)*'Data for SPECIATE'!$M$5:$AZ$26)/VLOOKUP(G$1,'Data for SPECIATE'!$C$5:$L$26,10,FALSE)</f>
        <v>0</v>
      </c>
      <c r="H29" s="188" cm="1">
        <f t="array" ref="H29">SUMPRODUCT(('Data for SPECIATE'!$C$5:$C$26='PM Protocol'!H$1)*('Data for SPECIATE'!$M$1:$AZ$1='PM Protocol'!$A29)*'Data for SPECIATE'!$M$5:$AZ$26)/VLOOKUP(H$1,'Data for SPECIATE'!$C$5:$L$26,10,FALSE)</f>
        <v>0</v>
      </c>
      <c r="I29" s="188" cm="1">
        <f t="array" ref="I29">SUMPRODUCT(('Data for SPECIATE'!$C$5:$C$26='PM Protocol'!I$1)*('Data for SPECIATE'!$M$1:$AZ$1='PM Protocol'!$A29)*'Data for SPECIATE'!$M$5:$AZ$26)/VLOOKUP(I$1,'Data for SPECIATE'!$C$5:$L$26,10,FALSE)</f>
        <v>1.4237675029254461E-4</v>
      </c>
      <c r="J29" s="188" cm="1">
        <f t="array" ref="J29">SUMPRODUCT(('Data for SPECIATE'!$C$5:$C$26='PM Protocol'!J$1)*('Data for SPECIATE'!$M$1:$AZ$1='PM Protocol'!$A29)*'Data for SPECIATE'!$M$5:$AZ$26)/VLOOKUP(J$1,'Data for SPECIATE'!$C$5:$L$26,10,FALSE)</f>
        <v>4.7462389210668828E-5</v>
      </c>
      <c r="K29" s="188" cm="1">
        <f t="array" ref="K29">SUMPRODUCT(('Data for SPECIATE'!$C$5:$C$26='PM Protocol'!K$1)*('Data for SPECIATE'!$M$1:$AZ$1='PM Protocol'!$A29)*'Data for SPECIATE'!$M$5:$AZ$26)/VLOOKUP(K$1,'Data for SPECIATE'!$C$5:$L$26,10,FALSE)</f>
        <v>0</v>
      </c>
      <c r="L29" s="188" cm="1">
        <f t="array" ref="L29">SUMPRODUCT(('Data for SPECIATE'!$C$5:$C$26='PM Protocol'!L$1)*('Data for SPECIATE'!$M$1:$AZ$1='PM Protocol'!$A29)*'Data for SPECIATE'!$M$5:$AZ$26)/VLOOKUP(L$1,'Data for SPECIATE'!$C$5:$L$26,10,FALSE)</f>
        <v>0</v>
      </c>
      <c r="M29" s="188" cm="1">
        <f t="array" ref="M29">SUMPRODUCT(('Data for SPECIATE'!$C$5:$C$26='PM Protocol'!M$1)*('Data for SPECIATE'!$M$1:$AZ$1='PM Protocol'!$A29)*'Data for SPECIATE'!$M$5:$AZ$26)/VLOOKUP(M$1,'Data for SPECIATE'!$C$5:$L$26,10,FALSE)</f>
        <v>1.7291943579208196E-3</v>
      </c>
      <c r="N29" s="188" cm="1">
        <f t="array" ref="N29">SUMPRODUCT(('Data for SPECIATE'!$C$5:$C$26='PM Protocol'!N$1)*('Data for SPECIATE'!$M$1:$AZ$1='PM Protocol'!$A29)*'Data for SPECIATE'!$M$5:$AZ$26)/VLOOKUP(N$1,'Data for SPECIATE'!$C$5:$L$26,10,FALSE)</f>
        <v>0</v>
      </c>
      <c r="O29" s="188" cm="1">
        <f t="array" ref="O29">SUMPRODUCT(('Data for SPECIATE'!$C$5:$C$26='PM Protocol'!O$1)*('Data for SPECIATE'!$M$1:$AZ$1='PM Protocol'!$A29)*'Data for SPECIATE'!$M$5:$AZ$26)/VLOOKUP(O$1,'Data for SPECIATE'!$C$5:$L$26,10,FALSE)</f>
        <v>6.0449201699709447E-4</v>
      </c>
      <c r="P29" s="188" cm="1">
        <f t="array" ref="P29">SUMPRODUCT(('Data for SPECIATE'!$C$5:$C$26='PM Protocol'!P$1)*('Data for SPECIATE'!$M$1:$AZ$1='PM Protocol'!$A29)*'Data for SPECIATE'!$M$5:$AZ$26)/VLOOKUP(P$1,'Data for SPECIATE'!$C$5:$L$26,10,FALSE)</f>
        <v>0</v>
      </c>
      <c r="Q29" s="188" cm="1">
        <f t="array" ref="Q29">SUMPRODUCT(('Data for SPECIATE'!$C$5:$C$26='PM Protocol'!Q$1)*('Data for SPECIATE'!$M$1:$AZ$1='PM Protocol'!$A29)*'Data for SPECIATE'!$M$5:$AZ$26)/VLOOKUP(Q$1,'Data for SPECIATE'!$C$5:$L$26,10,FALSE)</f>
        <v>2.3249781374762276E-3</v>
      </c>
      <c r="R29" s="188" cm="1">
        <f t="array" ref="R29">SUMPRODUCT(('Data for SPECIATE'!$C$5:$C$26='PM Protocol'!R$1)*('Data for SPECIATE'!$M$1:$AZ$1='PM Protocol'!$A29)*'Data for SPECIATE'!$M$5:$AZ$26)/SUMPRODUCT(('Data for SPECIATE'!$C$5:$C$26='PM Protocol'!R$1)*'Data for SPECIATE'!$M$5:$AZ$26)</f>
        <v>1.1066463368317233E-3</v>
      </c>
      <c r="S29" s="188" cm="1">
        <f t="array" ref="S29">SUMPRODUCT(('Data for SPECIATE'!$C$5:$C$26='PM Protocol'!S$1)*('Data for SPECIATE'!$M$1:$AZ$1='PM Protocol'!$A29)*'Data for SPECIATE'!$M$5:$AZ$26)/VLOOKUP(S$1,'Data for SPECIATE'!$C$5:$L$26,10,FALSE)</f>
        <v>0</v>
      </c>
      <c r="T29" s="188" cm="1">
        <f t="array" ref="T29">SUMPRODUCT(('Data for SPECIATE'!$C$5:$C$26='PM Protocol'!T$1)*('Data for SPECIATE'!$M$1:$AZ$1='PM Protocol'!$A29)*'Data for SPECIATE'!$M$5:$AZ$26)/VLOOKUP(T$1,'Data for SPECIATE'!$C$5:$L$26,10,FALSE)</f>
        <v>0</v>
      </c>
      <c r="U29" s="188" cm="1">
        <f t="array" ref="U29">SUMPRODUCT(('Data for SPECIATE'!$C$5:$C$26='PM Protocol'!U$1)*('Data for SPECIATE'!$M$1:$AZ$1='PM Protocol'!$A29)*'Data for SPECIATE'!$M$5:$AZ$26)/VLOOKUP(U$1,'Data for SPECIATE'!$C$5:$L$26,10,FALSE)</f>
        <v>0</v>
      </c>
      <c r="V29" s="188" cm="1">
        <f t="array" ref="V29">SUMPRODUCT(('Data for SPECIATE'!$C$5:$C$26='PM Protocol'!V$1)*('Data for SPECIATE'!$M$1:$AZ$1='PM Protocol'!$A29)*'Data for SPECIATE'!$M$5:$AZ$26)/VLOOKUP(V$1,'Data for SPECIATE'!$C$5:$L$26,10,FALSE)</f>
        <v>0</v>
      </c>
      <c r="W29" s="188" cm="1">
        <f t="array" ref="W29">SUMPRODUCT(('Data for SPECIATE'!$C$5:$C$26='PM Protocol'!W$1)*('Data for SPECIATE'!$M$1:$AZ$1='PM Protocol'!$A29)*'Data for SPECIATE'!$M$5:$AZ$26)/VLOOKUP(W$1,'Data for SPECIATE'!$C$5:$L$26,10,FALSE)</f>
        <v>0</v>
      </c>
      <c r="X29" s="188" cm="1">
        <f t="array" ref="X29">SUMPRODUCT(('Data for SPECIATE'!$C$5:$C$26='PM Protocol'!X$1)*('Data for SPECIATE'!$M$1:$AZ$1='PM Protocol'!$A29)*'Data for SPECIATE'!$M$5:$AZ$26)/VLOOKUP(X$1,'Data for SPECIATE'!$C$5:$L$26,10,FALSE)</f>
        <v>0</v>
      </c>
      <c r="Y29" s="188" cm="1">
        <f t="array" ref="Y29">SUMPRODUCT(('Data for SPECIATE'!$C$5:$C$26='PM Protocol'!Y$1)*('Data for SPECIATE'!$M$1:$AZ$1='PM Protocol'!$A29)*'Data for SPECIATE'!$M$5:$AZ$26)/VLOOKUP(Y$1,'Data for SPECIATE'!$C$5:$L$26,10,FALSE)</f>
        <v>0</v>
      </c>
      <c r="Z29" s="188" cm="1">
        <f t="array" ref="Z29">SUMPRODUCT(('Data for SPECIATE'!$C$5:$C$26='PM Protocol'!Z$1)*('Data for SPECIATE'!$M$1:$AZ$1='PM Protocol'!$A29)*'Data for SPECIATE'!$M$5:$AZ$26)/VLOOKUP(Z$1,'Data for SPECIATE'!$C$5:$L$26,10,FALSE)</f>
        <v>0</v>
      </c>
    </row>
    <row r="30" spans="1:26">
      <c r="A30">
        <v>785</v>
      </c>
      <c r="B30" t="s">
        <v>20</v>
      </c>
      <c r="C30" s="191">
        <f>IFERROR(VLOOKUP(A30,Oxides!$A$2:$G$39,7,FALSE),0)</f>
        <v>0.34799999999999998</v>
      </c>
      <c r="D30" t="s">
        <v>689</v>
      </c>
      <c r="E30" s="188" cm="1">
        <f t="array" ref="E30">SUMPRODUCT(('Data for SPECIATE'!$C$5:$C$26='PM Protocol'!E$1)*('Data for SPECIATE'!$M$1:$AZ$1='PM Protocol'!$A30)*'Data for SPECIATE'!$M$5:$AZ$26)/VLOOKUP(E$1,'Data for SPECIATE'!$C$5:$L$26,10,FALSE)</f>
        <v>0</v>
      </c>
      <c r="F30" s="188" cm="1">
        <f t="array" ref="F30">SUMPRODUCT(('Data for SPECIATE'!$C$5:$C$26='PM Protocol'!F$1)*('Data for SPECIATE'!$M$1:$AZ$1='PM Protocol'!$A30)*'Data for SPECIATE'!$M$5:$AZ$26)/VLOOKUP(F$1,'Data for SPECIATE'!$C$5:$L$26,10,FALSE)</f>
        <v>0</v>
      </c>
      <c r="G30" s="188" cm="1">
        <f t="array" ref="G30">SUMPRODUCT(('Data for SPECIATE'!$C$5:$C$26='PM Protocol'!G$1)*('Data for SPECIATE'!$M$1:$AZ$1='PM Protocol'!$A30)*'Data for SPECIATE'!$M$5:$AZ$26)/VLOOKUP(G$1,'Data for SPECIATE'!$C$5:$L$26,10,FALSE)</f>
        <v>0</v>
      </c>
      <c r="H30" s="188" cm="1">
        <f t="array" ref="H30">SUMPRODUCT(('Data for SPECIATE'!$C$5:$C$26='PM Protocol'!H$1)*('Data for SPECIATE'!$M$1:$AZ$1='PM Protocol'!$A30)*'Data for SPECIATE'!$M$5:$AZ$26)/VLOOKUP(H$1,'Data for SPECIATE'!$C$5:$L$26,10,FALSE)</f>
        <v>0</v>
      </c>
      <c r="I30" s="188" cm="1">
        <f t="array" ref="I30">SUMPRODUCT(('Data for SPECIATE'!$C$5:$C$26='PM Protocol'!I$1)*('Data for SPECIATE'!$M$1:$AZ$1='PM Protocol'!$A30)*'Data for SPECIATE'!$M$5:$AZ$26)/VLOOKUP(I$1,'Data for SPECIATE'!$C$5:$L$26,10,FALSE)</f>
        <v>0</v>
      </c>
      <c r="J30" s="188" cm="1">
        <f t="array" ref="J30">SUMPRODUCT(('Data for SPECIATE'!$C$5:$C$26='PM Protocol'!J$1)*('Data for SPECIATE'!$M$1:$AZ$1='PM Protocol'!$A30)*'Data for SPECIATE'!$M$5:$AZ$26)/VLOOKUP(J$1,'Data for SPECIATE'!$C$5:$L$26,10,FALSE)</f>
        <v>0</v>
      </c>
      <c r="K30" s="188" cm="1">
        <f t="array" ref="K30">SUMPRODUCT(('Data for SPECIATE'!$C$5:$C$26='PM Protocol'!K$1)*('Data for SPECIATE'!$M$1:$AZ$1='PM Protocol'!$A30)*'Data for SPECIATE'!$M$5:$AZ$26)/VLOOKUP(K$1,'Data for SPECIATE'!$C$5:$L$26,10,FALSE)</f>
        <v>0</v>
      </c>
      <c r="L30" s="188" cm="1">
        <f t="array" ref="L30">SUMPRODUCT(('Data for SPECIATE'!$C$5:$C$26='PM Protocol'!L$1)*('Data for SPECIATE'!$M$1:$AZ$1='PM Protocol'!$A30)*'Data for SPECIATE'!$M$5:$AZ$26)/VLOOKUP(L$1,'Data for SPECIATE'!$C$5:$L$26,10,FALSE)</f>
        <v>0</v>
      </c>
      <c r="M30" s="188" cm="1">
        <f t="array" ref="M30">SUMPRODUCT(('Data for SPECIATE'!$C$5:$C$26='PM Protocol'!M$1)*('Data for SPECIATE'!$M$1:$AZ$1='PM Protocol'!$A30)*'Data for SPECIATE'!$M$5:$AZ$26)/VLOOKUP(M$1,'Data for SPECIATE'!$C$5:$L$26,10,FALSE)</f>
        <v>0</v>
      </c>
      <c r="N30" s="188" cm="1">
        <f t="array" ref="N30">SUMPRODUCT(('Data for SPECIATE'!$C$5:$C$26='PM Protocol'!N$1)*('Data for SPECIATE'!$M$1:$AZ$1='PM Protocol'!$A30)*'Data for SPECIATE'!$M$5:$AZ$26)/VLOOKUP(N$1,'Data for SPECIATE'!$C$5:$L$26,10,FALSE)</f>
        <v>0</v>
      </c>
      <c r="O30" s="188" cm="1">
        <f t="array" ref="O30">SUMPRODUCT(('Data for SPECIATE'!$C$5:$C$26='PM Protocol'!O$1)*('Data for SPECIATE'!$M$1:$AZ$1='PM Protocol'!$A30)*'Data for SPECIATE'!$M$5:$AZ$26)/VLOOKUP(O$1,'Data for SPECIATE'!$C$5:$L$26,10,FALSE)</f>
        <v>0</v>
      </c>
      <c r="P30" s="188" cm="1">
        <f t="array" ref="P30">SUMPRODUCT(('Data for SPECIATE'!$C$5:$C$26='PM Protocol'!P$1)*('Data for SPECIATE'!$M$1:$AZ$1='PM Protocol'!$A30)*'Data for SPECIATE'!$M$5:$AZ$26)/VLOOKUP(P$1,'Data for SPECIATE'!$C$5:$L$26,10,FALSE)</f>
        <v>0</v>
      </c>
      <c r="Q30" s="188" cm="1">
        <f t="array" ref="Q30">SUMPRODUCT(('Data for SPECIATE'!$C$5:$C$26='PM Protocol'!Q$1)*('Data for SPECIATE'!$M$1:$AZ$1='PM Protocol'!$A30)*'Data for SPECIATE'!$M$5:$AZ$26)/VLOOKUP(Q$1,'Data for SPECIATE'!$C$5:$L$26,10,FALSE)</f>
        <v>0</v>
      </c>
      <c r="R30" s="188" cm="1">
        <f t="array" ref="R30">SUMPRODUCT(('Data for SPECIATE'!$C$5:$C$26='PM Protocol'!R$1)*('Data for SPECIATE'!$M$1:$AZ$1='PM Protocol'!$A30)*'Data for SPECIATE'!$M$5:$AZ$26)/SUMPRODUCT(('Data for SPECIATE'!$C$5:$C$26='PM Protocol'!R$1)*'Data for SPECIATE'!$M$5:$AZ$26)</f>
        <v>0</v>
      </c>
      <c r="S30" s="188" cm="1">
        <f t="array" ref="S30">SUMPRODUCT(('Data for SPECIATE'!$C$5:$C$26='PM Protocol'!S$1)*('Data for SPECIATE'!$M$1:$AZ$1='PM Protocol'!$A30)*'Data for SPECIATE'!$M$5:$AZ$26)/VLOOKUP(S$1,'Data for SPECIATE'!$C$5:$L$26,10,FALSE)</f>
        <v>0</v>
      </c>
      <c r="T30" s="188" cm="1">
        <f t="array" ref="T30">SUMPRODUCT(('Data for SPECIATE'!$C$5:$C$26='PM Protocol'!T$1)*('Data for SPECIATE'!$M$1:$AZ$1='PM Protocol'!$A30)*'Data for SPECIATE'!$M$5:$AZ$26)/VLOOKUP(T$1,'Data for SPECIATE'!$C$5:$L$26,10,FALSE)</f>
        <v>0</v>
      </c>
      <c r="U30" s="188" cm="1">
        <f t="array" ref="U30">SUMPRODUCT(('Data for SPECIATE'!$C$5:$C$26='PM Protocol'!U$1)*('Data for SPECIATE'!$M$1:$AZ$1='PM Protocol'!$A30)*'Data for SPECIATE'!$M$5:$AZ$26)/VLOOKUP(U$1,'Data for SPECIATE'!$C$5:$L$26,10,FALSE)</f>
        <v>0</v>
      </c>
      <c r="V30" s="188" cm="1">
        <f t="array" ref="V30">SUMPRODUCT(('Data for SPECIATE'!$C$5:$C$26='PM Protocol'!V$1)*('Data for SPECIATE'!$M$1:$AZ$1='PM Protocol'!$A30)*'Data for SPECIATE'!$M$5:$AZ$26)/VLOOKUP(V$1,'Data for SPECIATE'!$C$5:$L$26,10,FALSE)</f>
        <v>0</v>
      </c>
      <c r="W30" s="188" cm="1">
        <f t="array" ref="W30">SUMPRODUCT(('Data for SPECIATE'!$C$5:$C$26='PM Protocol'!W$1)*('Data for SPECIATE'!$M$1:$AZ$1='PM Protocol'!$A30)*'Data for SPECIATE'!$M$5:$AZ$26)/VLOOKUP(W$1,'Data for SPECIATE'!$C$5:$L$26,10,FALSE)</f>
        <v>0</v>
      </c>
      <c r="X30" s="188" cm="1">
        <f t="array" ref="X30">SUMPRODUCT(('Data for SPECIATE'!$C$5:$C$26='PM Protocol'!X$1)*('Data for SPECIATE'!$M$1:$AZ$1='PM Protocol'!$A30)*'Data for SPECIATE'!$M$5:$AZ$26)/VLOOKUP(X$1,'Data for SPECIATE'!$C$5:$L$26,10,FALSE)</f>
        <v>0</v>
      </c>
      <c r="Y30" s="188" cm="1">
        <f t="array" ref="Y30">SUMPRODUCT(('Data for SPECIATE'!$C$5:$C$26='PM Protocol'!Y$1)*('Data for SPECIATE'!$M$1:$AZ$1='PM Protocol'!$A30)*'Data for SPECIATE'!$M$5:$AZ$26)/VLOOKUP(Y$1,'Data for SPECIATE'!$C$5:$L$26,10,FALSE)</f>
        <v>0</v>
      </c>
      <c r="Z30" s="188" cm="1">
        <f t="array" ref="Z30">SUMPRODUCT(('Data for SPECIATE'!$C$5:$C$26='PM Protocol'!Z$1)*('Data for SPECIATE'!$M$1:$AZ$1='PM Protocol'!$A30)*'Data for SPECIATE'!$M$5:$AZ$26)/VLOOKUP(Z$1,'Data for SPECIATE'!$C$5:$L$26,10,FALSE)</f>
        <v>0</v>
      </c>
    </row>
    <row r="31" spans="1:26">
      <c r="A31">
        <v>795</v>
      </c>
      <c r="B31" t="str">
        <f>HLOOKUP(A31,'Data for SPECIATE'!$M$1:$AZ$2,2,FALSE)</f>
        <v>XRF</v>
      </c>
      <c r="C31" s="191">
        <f>IFERROR(VLOOKUP(A31,Oxides!$A$2:$G$39,7,FALSE),0)</f>
        <v>0</v>
      </c>
      <c r="D31" t="s">
        <v>690</v>
      </c>
      <c r="E31" s="188" cm="1">
        <f t="array" ref="E31">SUMPRODUCT(('Data for SPECIATE'!$C$5:$C$26='PM Protocol'!E$1)*('Data for SPECIATE'!$M$1:$AZ$1='PM Protocol'!$A31)*'Data for SPECIATE'!$M$5:$AZ$26)/VLOOKUP(E$1,'Data for SPECIATE'!$C$5:$L$26,10,FALSE)</f>
        <v>8.5872085974744879E-4</v>
      </c>
      <c r="F31" s="188" cm="1">
        <f t="array" ref="F31">SUMPRODUCT(('Data for SPECIATE'!$C$5:$C$26='PM Protocol'!F$1)*('Data for SPECIATE'!$M$1:$AZ$1='PM Protocol'!$A31)*'Data for SPECIATE'!$M$5:$AZ$26)/VLOOKUP(F$1,'Data for SPECIATE'!$C$5:$L$26,10,FALSE)</f>
        <v>1.1714743576841692E-3</v>
      </c>
      <c r="G31" s="188" cm="1">
        <f t="array" ref="G31">SUMPRODUCT(('Data for SPECIATE'!$C$5:$C$26='PM Protocol'!G$1)*('Data for SPECIATE'!$M$1:$AZ$1='PM Protocol'!$A31)*'Data for SPECIATE'!$M$5:$AZ$26)/VLOOKUP(G$1,'Data for SPECIATE'!$C$5:$L$26,10,FALSE)</f>
        <v>1.3019832737457123E-3</v>
      </c>
      <c r="H31" s="188" cm="1">
        <f t="array" ref="H31">SUMPRODUCT(('Data for SPECIATE'!$C$5:$C$26='PM Protocol'!H$1)*('Data for SPECIATE'!$M$1:$AZ$1='PM Protocol'!$A31)*'Data for SPECIATE'!$M$5:$AZ$26)/VLOOKUP(H$1,'Data for SPECIATE'!$C$5:$L$26,10,FALSE)</f>
        <v>1.6195454931579661E-3</v>
      </c>
      <c r="I31" s="188" cm="1">
        <f t="array" ref="I31">SUMPRODUCT(('Data for SPECIATE'!$C$5:$C$26='PM Protocol'!I$1)*('Data for SPECIATE'!$M$1:$AZ$1='PM Protocol'!$A31)*'Data for SPECIATE'!$M$5:$AZ$26)/VLOOKUP(I$1,'Data for SPECIATE'!$C$5:$L$26,10,FALSE)</f>
        <v>1.179697376831338E-3</v>
      </c>
      <c r="J31" s="188" cm="1">
        <f t="array" ref="J31">SUMPRODUCT(('Data for SPECIATE'!$C$5:$C$26='PM Protocol'!J$1)*('Data for SPECIATE'!$M$1:$AZ$1='PM Protocol'!$A31)*'Data for SPECIATE'!$M$5:$AZ$26)/VLOOKUP(J$1,'Data for SPECIATE'!$C$5:$L$26,10,FALSE)</f>
        <v>1.0936423115519862E-3</v>
      </c>
      <c r="K31" s="188" cm="1">
        <f t="array" ref="K31">SUMPRODUCT(('Data for SPECIATE'!$C$5:$C$26='PM Protocol'!K$1)*('Data for SPECIATE'!$M$1:$AZ$1='PM Protocol'!$A31)*'Data for SPECIATE'!$M$5:$AZ$26)/VLOOKUP(K$1,'Data for SPECIATE'!$C$5:$L$26,10,FALSE)</f>
        <v>1.2124486321553976E-3</v>
      </c>
      <c r="L31" s="188" cm="1">
        <f t="array" ref="L31">SUMPRODUCT(('Data for SPECIATE'!$C$5:$C$26='PM Protocol'!L$1)*('Data for SPECIATE'!$M$1:$AZ$1='PM Protocol'!$A31)*'Data for SPECIATE'!$M$5:$AZ$26)/VLOOKUP(L$1,'Data for SPECIATE'!$C$5:$L$26,10,FALSE)</f>
        <v>3.2421483603736392E-3</v>
      </c>
      <c r="M31" s="188" cm="1">
        <f t="array" ref="M31">SUMPRODUCT(('Data for SPECIATE'!$C$5:$C$26='PM Protocol'!M$1)*('Data for SPECIATE'!$M$1:$AZ$1='PM Protocol'!$A31)*'Data for SPECIATE'!$M$5:$AZ$26)/VLOOKUP(M$1,'Data for SPECIATE'!$C$5:$L$26,10,FALSE)</f>
        <v>1.9209550454667198E-3</v>
      </c>
      <c r="N31" s="188" cm="1">
        <f t="array" ref="N31">SUMPRODUCT(('Data for SPECIATE'!$C$5:$C$26='PM Protocol'!N$1)*('Data for SPECIATE'!$M$1:$AZ$1='PM Protocol'!$A31)*'Data for SPECIATE'!$M$5:$AZ$26)/VLOOKUP(N$1,'Data for SPECIATE'!$C$5:$L$26,10,FALSE)</f>
        <v>5.8657179321164625E-4</v>
      </c>
      <c r="O31" s="188" cm="1">
        <f t="array" ref="O31">SUMPRODUCT(('Data for SPECIATE'!$C$5:$C$26='PM Protocol'!O$1)*('Data for SPECIATE'!$M$1:$AZ$1='PM Protocol'!$A31)*'Data for SPECIATE'!$M$5:$AZ$26)/VLOOKUP(O$1,'Data for SPECIATE'!$C$5:$L$26,10,FALSE)</f>
        <v>1.3663822190417931E-3</v>
      </c>
      <c r="P31" s="188" cm="1">
        <f t="array" ref="P31">SUMPRODUCT(('Data for SPECIATE'!$C$5:$C$26='PM Protocol'!P$1)*('Data for SPECIATE'!$M$1:$AZ$1='PM Protocol'!$A31)*'Data for SPECIATE'!$M$5:$AZ$26)/VLOOKUP(P$1,'Data for SPECIATE'!$C$5:$L$26,10,FALSE)</f>
        <v>6.7334630509482041E-4</v>
      </c>
      <c r="Q31" s="188" cm="1">
        <f t="array" ref="Q31">SUMPRODUCT(('Data for SPECIATE'!$C$5:$C$26='PM Protocol'!Q$1)*('Data for SPECIATE'!$M$1:$AZ$1='PM Protocol'!$A31)*'Data for SPECIATE'!$M$5:$AZ$26)/VLOOKUP(Q$1,'Data for SPECIATE'!$C$5:$L$26,10,FALSE)</f>
        <v>3.5238603803376773E-3</v>
      </c>
      <c r="R31" s="188" cm="1">
        <f t="array" ref="R31">SUMPRODUCT(('Data for SPECIATE'!$C$5:$C$26='PM Protocol'!R$1)*('Data for SPECIATE'!$M$1:$AZ$1='PM Protocol'!$A31)*'Data for SPECIATE'!$M$5:$AZ$26)/SUMPRODUCT(('Data for SPECIATE'!$C$5:$C$26='PM Protocol'!R$1)*'Data for SPECIATE'!$M$5:$AZ$26)</f>
        <v>1.0379281572870129E-2</v>
      </c>
      <c r="S31" s="188" cm="1">
        <f t="array" ref="S31">SUMPRODUCT(('Data for SPECIATE'!$C$5:$C$26='PM Protocol'!S$1)*('Data for SPECIATE'!$M$1:$AZ$1='PM Protocol'!$A31)*'Data for SPECIATE'!$M$5:$AZ$26)/VLOOKUP(S$1,'Data for SPECIATE'!$C$5:$L$26,10,FALSE)</f>
        <v>1.8474916815201597E-3</v>
      </c>
      <c r="T31" s="188" cm="1">
        <f t="array" ref="T31">SUMPRODUCT(('Data for SPECIATE'!$C$5:$C$26='PM Protocol'!T$1)*('Data for SPECIATE'!$M$1:$AZ$1='PM Protocol'!$A31)*'Data for SPECIATE'!$M$5:$AZ$26)/VLOOKUP(T$1,'Data for SPECIATE'!$C$5:$L$26,10,FALSE)</f>
        <v>3.9104015789610536E-3</v>
      </c>
      <c r="U31" s="188" cm="1">
        <f t="array" ref="U31">SUMPRODUCT(('Data for SPECIATE'!$C$5:$C$26='PM Protocol'!U$1)*('Data for SPECIATE'!$M$1:$AZ$1='PM Protocol'!$A31)*'Data for SPECIATE'!$M$5:$AZ$26)/VLOOKUP(U$1,'Data for SPECIATE'!$C$5:$L$26,10,FALSE)</f>
        <v>2.0142909475282804E-3</v>
      </c>
      <c r="V31" s="188" cm="1">
        <f t="array" ref="V31">SUMPRODUCT(('Data for SPECIATE'!$C$5:$C$26='PM Protocol'!V$1)*('Data for SPECIATE'!$M$1:$AZ$1='PM Protocol'!$A31)*'Data for SPECIATE'!$M$5:$AZ$26)/VLOOKUP(V$1,'Data for SPECIATE'!$C$5:$L$26,10,FALSE)</f>
        <v>7.5529815552710577E-3</v>
      </c>
      <c r="W31" s="188" cm="1">
        <f t="array" ref="W31">SUMPRODUCT(('Data for SPECIATE'!$C$5:$C$26='PM Protocol'!W$1)*('Data for SPECIATE'!$M$1:$AZ$1='PM Protocol'!$A31)*'Data for SPECIATE'!$M$5:$AZ$26)/VLOOKUP(W$1,'Data for SPECIATE'!$C$5:$L$26,10,FALSE)</f>
        <v>1.7481551978238393E-3</v>
      </c>
      <c r="X31" s="188" cm="1">
        <f t="array" ref="X31">SUMPRODUCT(('Data for SPECIATE'!$C$5:$C$26='PM Protocol'!X$1)*('Data for SPECIATE'!$M$1:$AZ$1='PM Protocol'!$A31)*'Data for SPECIATE'!$M$5:$AZ$26)/VLOOKUP(X$1,'Data for SPECIATE'!$C$5:$L$26,10,FALSE)</f>
        <v>5.1451428388946344E-3</v>
      </c>
      <c r="Y31" s="188" cm="1">
        <f t="array" ref="Y31">SUMPRODUCT(('Data for SPECIATE'!$C$5:$C$26='PM Protocol'!Y$1)*('Data for SPECIATE'!$M$1:$AZ$1='PM Protocol'!$A31)*'Data for SPECIATE'!$M$5:$AZ$26)/VLOOKUP(Y$1,'Data for SPECIATE'!$C$5:$L$26,10,FALSE)</f>
        <v>1.9910083256463526E-3</v>
      </c>
      <c r="Z31" s="188" cm="1">
        <f t="array" ref="Z31">SUMPRODUCT(('Data for SPECIATE'!$C$5:$C$26='PM Protocol'!Z$1)*('Data for SPECIATE'!$M$1:$AZ$1='PM Protocol'!$A31)*'Data for SPECIATE'!$M$5:$AZ$26)/VLOOKUP(Z$1,'Data for SPECIATE'!$C$5:$L$26,10,FALSE)</f>
        <v>3.0918231339015522E-3</v>
      </c>
    </row>
    <row r="32" spans="1:26">
      <c r="A32">
        <v>337</v>
      </c>
      <c r="B32" t="s">
        <v>20</v>
      </c>
      <c r="C32" s="191">
        <f>IFERROR(VLOOKUP(A32,Oxides!$A$2:$G$39,7,FALSE),0)</f>
        <v>0</v>
      </c>
      <c r="D32" t="s">
        <v>690</v>
      </c>
      <c r="E32" s="188" cm="1">
        <f t="array" ref="E32">SUMPRODUCT(('Data for SPECIATE'!$C$5:$C$26='PM Protocol'!E$1)*('Data for SPECIATE'!$M$1:$AZ$1='PM Protocol'!$A32)*'Data for SPECIATE'!$M$5:$AZ$26)/VLOOKUP(E$1,'Data for SPECIATE'!$C$5:$L$26,10,FALSE)</f>
        <v>0</v>
      </c>
      <c r="F32" s="188" cm="1">
        <f t="array" ref="F32">SUMPRODUCT(('Data for SPECIATE'!$C$5:$C$26='PM Protocol'!F$1)*('Data for SPECIATE'!$M$1:$AZ$1='PM Protocol'!$A32)*'Data for SPECIATE'!$M$5:$AZ$26)/VLOOKUP(F$1,'Data for SPECIATE'!$C$5:$L$26,10,FALSE)</f>
        <v>0</v>
      </c>
      <c r="G32" s="188" cm="1">
        <f t="array" ref="G32">SUMPRODUCT(('Data for SPECIATE'!$C$5:$C$26='PM Protocol'!G$1)*('Data for SPECIATE'!$M$1:$AZ$1='PM Protocol'!$A32)*'Data for SPECIATE'!$M$5:$AZ$26)/VLOOKUP(G$1,'Data for SPECIATE'!$C$5:$L$26,10,FALSE)</f>
        <v>0</v>
      </c>
      <c r="H32" s="188" cm="1">
        <f t="array" ref="H32">SUMPRODUCT(('Data for SPECIATE'!$C$5:$C$26='PM Protocol'!H$1)*('Data for SPECIATE'!$M$1:$AZ$1='PM Protocol'!$A32)*'Data for SPECIATE'!$M$5:$AZ$26)/VLOOKUP(H$1,'Data for SPECIATE'!$C$5:$L$26,10,FALSE)</f>
        <v>0</v>
      </c>
      <c r="I32" s="188" cm="1">
        <f t="array" ref="I32">SUMPRODUCT(('Data for SPECIATE'!$C$5:$C$26='PM Protocol'!I$1)*('Data for SPECIATE'!$M$1:$AZ$1='PM Protocol'!$A32)*'Data for SPECIATE'!$M$5:$AZ$26)/VLOOKUP(I$1,'Data for SPECIATE'!$C$5:$L$26,10,FALSE)</f>
        <v>0</v>
      </c>
      <c r="J32" s="188" cm="1">
        <f t="array" ref="J32">SUMPRODUCT(('Data for SPECIATE'!$C$5:$C$26='PM Protocol'!J$1)*('Data for SPECIATE'!$M$1:$AZ$1='PM Protocol'!$A32)*'Data for SPECIATE'!$M$5:$AZ$26)/VLOOKUP(J$1,'Data for SPECIATE'!$C$5:$L$26,10,FALSE)</f>
        <v>0</v>
      </c>
      <c r="K32" s="188" cm="1">
        <f t="array" ref="K32">SUMPRODUCT(('Data for SPECIATE'!$C$5:$C$26='PM Protocol'!K$1)*('Data for SPECIATE'!$M$1:$AZ$1='PM Protocol'!$A32)*'Data for SPECIATE'!$M$5:$AZ$26)/VLOOKUP(K$1,'Data for SPECIATE'!$C$5:$L$26,10,FALSE)</f>
        <v>0</v>
      </c>
      <c r="L32" s="188" cm="1">
        <f t="array" ref="L32">SUMPRODUCT(('Data for SPECIATE'!$C$5:$C$26='PM Protocol'!L$1)*('Data for SPECIATE'!$M$1:$AZ$1='PM Protocol'!$A32)*'Data for SPECIATE'!$M$5:$AZ$26)/VLOOKUP(L$1,'Data for SPECIATE'!$C$5:$L$26,10,FALSE)</f>
        <v>0</v>
      </c>
      <c r="M32" s="188" cm="1">
        <f t="array" ref="M32">SUMPRODUCT(('Data for SPECIATE'!$C$5:$C$26='PM Protocol'!M$1)*('Data for SPECIATE'!$M$1:$AZ$1='PM Protocol'!$A32)*'Data for SPECIATE'!$M$5:$AZ$26)/VLOOKUP(M$1,'Data for SPECIATE'!$C$5:$L$26,10,FALSE)</f>
        <v>0</v>
      </c>
      <c r="N32" s="188" cm="1">
        <f t="array" ref="N32">SUMPRODUCT(('Data for SPECIATE'!$C$5:$C$26='PM Protocol'!N$1)*('Data for SPECIATE'!$M$1:$AZ$1='PM Protocol'!$A32)*'Data for SPECIATE'!$M$5:$AZ$26)/VLOOKUP(N$1,'Data for SPECIATE'!$C$5:$L$26,10,FALSE)</f>
        <v>0</v>
      </c>
      <c r="O32" s="188" cm="1">
        <f t="array" ref="O32">SUMPRODUCT(('Data for SPECIATE'!$C$5:$C$26='PM Protocol'!O$1)*('Data for SPECIATE'!$M$1:$AZ$1='PM Protocol'!$A32)*'Data for SPECIATE'!$M$5:$AZ$26)/VLOOKUP(O$1,'Data for SPECIATE'!$C$5:$L$26,10,FALSE)</f>
        <v>0</v>
      </c>
      <c r="P32" s="188" cm="1">
        <f t="array" ref="P32">SUMPRODUCT(('Data for SPECIATE'!$C$5:$C$26='PM Protocol'!P$1)*('Data for SPECIATE'!$M$1:$AZ$1='PM Protocol'!$A32)*'Data for SPECIATE'!$M$5:$AZ$26)/VLOOKUP(P$1,'Data for SPECIATE'!$C$5:$L$26,10,FALSE)</f>
        <v>0</v>
      </c>
      <c r="Q32" s="188" cm="1">
        <f t="array" ref="Q32">SUMPRODUCT(('Data for SPECIATE'!$C$5:$C$26='PM Protocol'!Q$1)*('Data for SPECIATE'!$M$1:$AZ$1='PM Protocol'!$A32)*'Data for SPECIATE'!$M$5:$AZ$26)/VLOOKUP(Q$1,'Data for SPECIATE'!$C$5:$L$26,10,FALSE)</f>
        <v>0</v>
      </c>
      <c r="R32" s="188" cm="1">
        <f t="array" ref="R32">SUMPRODUCT(('Data for SPECIATE'!$C$5:$C$26='PM Protocol'!R$1)*('Data for SPECIATE'!$M$1:$AZ$1='PM Protocol'!$A32)*'Data for SPECIATE'!$M$5:$AZ$26)/SUMPRODUCT(('Data for SPECIATE'!$C$5:$C$26='PM Protocol'!R$1)*'Data for SPECIATE'!$M$5:$AZ$26)</f>
        <v>0</v>
      </c>
      <c r="S32" s="188" cm="1">
        <f t="array" ref="S32">SUMPRODUCT(('Data for SPECIATE'!$C$5:$C$26='PM Protocol'!S$1)*('Data for SPECIATE'!$M$1:$AZ$1='PM Protocol'!$A32)*'Data for SPECIATE'!$M$5:$AZ$26)/VLOOKUP(S$1,'Data for SPECIATE'!$C$5:$L$26,10,FALSE)</f>
        <v>0</v>
      </c>
      <c r="T32" s="188" cm="1">
        <f t="array" ref="T32">SUMPRODUCT(('Data for SPECIATE'!$C$5:$C$26='PM Protocol'!T$1)*('Data for SPECIATE'!$M$1:$AZ$1='PM Protocol'!$A32)*'Data for SPECIATE'!$M$5:$AZ$26)/VLOOKUP(T$1,'Data for SPECIATE'!$C$5:$L$26,10,FALSE)</f>
        <v>0</v>
      </c>
      <c r="U32" s="188" cm="1">
        <f t="array" ref="U32">SUMPRODUCT(('Data for SPECIATE'!$C$5:$C$26='PM Protocol'!U$1)*('Data for SPECIATE'!$M$1:$AZ$1='PM Protocol'!$A32)*'Data for SPECIATE'!$M$5:$AZ$26)/VLOOKUP(U$1,'Data for SPECIATE'!$C$5:$L$26,10,FALSE)</f>
        <v>0</v>
      </c>
      <c r="V32" s="188" cm="1">
        <f t="array" ref="V32">SUMPRODUCT(('Data for SPECIATE'!$C$5:$C$26='PM Protocol'!V$1)*('Data for SPECIATE'!$M$1:$AZ$1='PM Protocol'!$A32)*'Data for SPECIATE'!$M$5:$AZ$26)/VLOOKUP(V$1,'Data for SPECIATE'!$C$5:$L$26,10,FALSE)</f>
        <v>0</v>
      </c>
      <c r="W32" s="188" cm="1">
        <f t="array" ref="W32">SUMPRODUCT(('Data for SPECIATE'!$C$5:$C$26='PM Protocol'!W$1)*('Data for SPECIATE'!$M$1:$AZ$1='PM Protocol'!$A32)*'Data for SPECIATE'!$M$5:$AZ$26)/VLOOKUP(W$1,'Data for SPECIATE'!$C$5:$L$26,10,FALSE)</f>
        <v>0</v>
      </c>
      <c r="X32" s="188" cm="1">
        <f t="array" ref="X32">SUMPRODUCT(('Data for SPECIATE'!$C$5:$C$26='PM Protocol'!X$1)*('Data for SPECIATE'!$M$1:$AZ$1='PM Protocol'!$A32)*'Data for SPECIATE'!$M$5:$AZ$26)/VLOOKUP(X$1,'Data for SPECIATE'!$C$5:$L$26,10,FALSE)</f>
        <v>0</v>
      </c>
      <c r="Y32" s="188" cm="1">
        <f t="array" ref="Y32">SUMPRODUCT(('Data for SPECIATE'!$C$5:$C$26='PM Protocol'!Y$1)*('Data for SPECIATE'!$M$1:$AZ$1='PM Protocol'!$A32)*'Data for SPECIATE'!$M$5:$AZ$26)/VLOOKUP(Y$1,'Data for SPECIATE'!$C$5:$L$26,10,FALSE)</f>
        <v>0</v>
      </c>
      <c r="Z32" s="188" cm="1">
        <f t="array" ref="Z32">SUMPRODUCT(('Data for SPECIATE'!$C$5:$C$26='PM Protocol'!Z$1)*('Data for SPECIATE'!$M$1:$AZ$1='PM Protocol'!$A32)*'Data for SPECIATE'!$M$5:$AZ$26)/VLOOKUP(Z$1,'Data for SPECIATE'!$C$5:$L$26,10,FALSE)</f>
        <v>0</v>
      </c>
    </row>
    <row r="33" spans="1:26" s="176" customFormat="1">
      <c r="A33" s="176">
        <v>2668</v>
      </c>
      <c r="B33" s="176" t="s">
        <v>676</v>
      </c>
      <c r="C33" s="192">
        <f>IFERROR(VLOOKUP(A33,Oxides!$A$2:$G$39,7,FALSE),0)</f>
        <v>0</v>
      </c>
      <c r="D33" s="176" t="s">
        <v>691</v>
      </c>
      <c r="E33" s="190">
        <f>0.24*E14</f>
        <v>6.455234627551576E-4</v>
      </c>
      <c r="F33" s="190">
        <f t="shared" ref="F33:Z33" si="9">0.24*F14</f>
        <v>1.1369718168464944E-3</v>
      </c>
      <c r="G33" s="190">
        <f t="shared" si="9"/>
        <v>1.4415945194842237E-3</v>
      </c>
      <c r="H33" s="190">
        <f t="shared" si="9"/>
        <v>1.1261987512933259E-3</v>
      </c>
      <c r="I33" s="190">
        <f t="shared" si="9"/>
        <v>8.4511066009023111E-4</v>
      </c>
      <c r="J33" s="190">
        <f t="shared" si="9"/>
        <v>9.0887373943046427E-4</v>
      </c>
      <c r="K33" s="190">
        <f t="shared" si="9"/>
        <v>6.5286357367299393E-4</v>
      </c>
      <c r="L33" s="190">
        <f t="shared" si="9"/>
        <v>1.362823168887707E-3</v>
      </c>
      <c r="M33" s="190">
        <f t="shared" si="9"/>
        <v>1.2323115616263956E-3</v>
      </c>
      <c r="N33" s="190">
        <f t="shared" si="9"/>
        <v>2.1925998240472966E-4</v>
      </c>
      <c r="O33" s="190">
        <f t="shared" si="9"/>
        <v>6.8104648835894783E-4</v>
      </c>
      <c r="P33" s="190">
        <f t="shared" si="9"/>
        <v>4.6407606124274537E-4</v>
      </c>
      <c r="Q33" s="190">
        <f t="shared" ref="Q33" si="10">0.24*Q14</f>
        <v>1.8234978451103468E-3</v>
      </c>
      <c r="R33" s="190">
        <f t="shared" si="9"/>
        <v>7.2728318322810943E-3</v>
      </c>
      <c r="S33" s="190">
        <f t="shared" si="9"/>
        <v>7.7712658586153967E-4</v>
      </c>
      <c r="T33" s="190">
        <f t="shared" si="9"/>
        <v>6.0766756937259093E-3</v>
      </c>
      <c r="U33" s="190">
        <f t="shared" si="9"/>
        <v>8.992840953556796E-4</v>
      </c>
      <c r="V33" s="190">
        <f t="shared" si="9"/>
        <v>3.8054430131532813E-3</v>
      </c>
      <c r="W33" s="190">
        <f t="shared" si="9"/>
        <v>6.5764254335988123E-4</v>
      </c>
      <c r="X33" s="190">
        <f t="shared" si="9"/>
        <v>4.5717299170663864E-3</v>
      </c>
      <c r="Y33" s="190">
        <f t="shared" si="9"/>
        <v>1.1654844104313693E-3</v>
      </c>
      <c r="Z33" s="190">
        <f t="shared" si="9"/>
        <v>2.0496049094151261E-3</v>
      </c>
    </row>
    <row r="34" spans="1:26">
      <c r="A34">
        <v>3245</v>
      </c>
      <c r="B34" t="s">
        <v>20</v>
      </c>
      <c r="C34" s="191">
        <f>IFERROR(VLOOKUP(A34,Oxides!$A$2:$G$39,7,FALSE),0)</f>
        <v>0</v>
      </c>
      <c r="D34" t="s">
        <v>692</v>
      </c>
      <c r="E34" s="188" cm="1">
        <f t="array" ref="E34">SUMPRODUCT(('Data for SPECIATE'!$C$5:$C$26='PM Protocol'!E$1)*('Data for SPECIATE'!$M$1:$AZ$1='PM Protocol'!$A34)*'Data for SPECIATE'!$M$5:$AZ$26)/VLOOKUP(E$1,'Data for SPECIATE'!$C$5:$L$26,10,FALSE)</f>
        <v>0</v>
      </c>
      <c r="F34" s="188" cm="1">
        <f t="array" ref="F34">SUMPRODUCT(('Data for SPECIATE'!$C$5:$C$26='PM Protocol'!F$1)*('Data for SPECIATE'!$M$1:$AZ$1='PM Protocol'!$A34)*'Data for SPECIATE'!$M$5:$AZ$26)/VLOOKUP(F$1,'Data for SPECIATE'!$C$5:$L$26,10,FALSE)</f>
        <v>0</v>
      </c>
      <c r="G34" s="188" cm="1">
        <f t="array" ref="G34">SUMPRODUCT(('Data for SPECIATE'!$C$5:$C$26='PM Protocol'!G$1)*('Data for SPECIATE'!$M$1:$AZ$1='PM Protocol'!$A34)*'Data for SPECIATE'!$M$5:$AZ$26)/VLOOKUP(G$1,'Data for SPECIATE'!$C$5:$L$26,10,FALSE)</f>
        <v>0</v>
      </c>
      <c r="H34" s="188" cm="1">
        <f t="array" ref="H34">SUMPRODUCT(('Data for SPECIATE'!$C$5:$C$26='PM Protocol'!H$1)*('Data for SPECIATE'!$M$1:$AZ$1='PM Protocol'!$A34)*'Data for SPECIATE'!$M$5:$AZ$26)/VLOOKUP(H$1,'Data for SPECIATE'!$C$5:$L$26,10,FALSE)</f>
        <v>0</v>
      </c>
      <c r="I34" s="188" cm="1">
        <f t="array" ref="I34">SUMPRODUCT(('Data for SPECIATE'!$C$5:$C$26='PM Protocol'!I$1)*('Data for SPECIATE'!$M$1:$AZ$1='PM Protocol'!$A34)*'Data for SPECIATE'!$M$5:$AZ$26)/VLOOKUP(I$1,'Data for SPECIATE'!$C$5:$L$26,10,FALSE)</f>
        <v>0</v>
      </c>
      <c r="J34" s="188" cm="1">
        <f t="array" ref="J34">SUMPRODUCT(('Data for SPECIATE'!$C$5:$C$26='PM Protocol'!J$1)*('Data for SPECIATE'!$M$1:$AZ$1='PM Protocol'!$A34)*'Data for SPECIATE'!$M$5:$AZ$26)/VLOOKUP(J$1,'Data for SPECIATE'!$C$5:$L$26,10,FALSE)</f>
        <v>0</v>
      </c>
      <c r="K34" s="188" cm="1">
        <f t="array" ref="K34">SUMPRODUCT(('Data for SPECIATE'!$C$5:$C$26='PM Protocol'!K$1)*('Data for SPECIATE'!$M$1:$AZ$1='PM Protocol'!$A34)*'Data for SPECIATE'!$M$5:$AZ$26)/VLOOKUP(K$1,'Data for SPECIATE'!$C$5:$L$26,10,FALSE)</f>
        <v>0</v>
      </c>
      <c r="L34" s="188" cm="1">
        <f t="array" ref="L34">SUMPRODUCT(('Data for SPECIATE'!$C$5:$C$26='PM Protocol'!L$1)*('Data for SPECIATE'!$M$1:$AZ$1='PM Protocol'!$A34)*'Data for SPECIATE'!$M$5:$AZ$26)/VLOOKUP(L$1,'Data for SPECIATE'!$C$5:$L$26,10,FALSE)</f>
        <v>0</v>
      </c>
      <c r="M34" s="188" cm="1">
        <f t="array" ref="M34">SUMPRODUCT(('Data for SPECIATE'!$C$5:$C$26='PM Protocol'!M$1)*('Data for SPECIATE'!$M$1:$AZ$1='PM Protocol'!$A34)*'Data for SPECIATE'!$M$5:$AZ$26)/VLOOKUP(M$1,'Data for SPECIATE'!$C$5:$L$26,10,FALSE)</f>
        <v>0</v>
      </c>
      <c r="N34" s="188" cm="1">
        <f t="array" ref="N34">SUMPRODUCT(('Data for SPECIATE'!$C$5:$C$26='PM Protocol'!N$1)*('Data for SPECIATE'!$M$1:$AZ$1='PM Protocol'!$A34)*'Data for SPECIATE'!$M$5:$AZ$26)/VLOOKUP(N$1,'Data for SPECIATE'!$C$5:$L$26,10,FALSE)</f>
        <v>0</v>
      </c>
      <c r="O34" s="188" cm="1">
        <f t="array" ref="O34">SUMPRODUCT(('Data for SPECIATE'!$C$5:$C$26='PM Protocol'!O$1)*('Data for SPECIATE'!$M$1:$AZ$1='PM Protocol'!$A34)*'Data for SPECIATE'!$M$5:$AZ$26)/VLOOKUP(O$1,'Data for SPECIATE'!$C$5:$L$26,10,FALSE)</f>
        <v>0</v>
      </c>
      <c r="P34" s="188" cm="1">
        <f t="array" ref="P34">SUMPRODUCT(('Data for SPECIATE'!$C$5:$C$26='PM Protocol'!P$1)*('Data for SPECIATE'!$M$1:$AZ$1='PM Protocol'!$A34)*'Data for SPECIATE'!$M$5:$AZ$26)/VLOOKUP(P$1,'Data for SPECIATE'!$C$5:$L$26,10,FALSE)</f>
        <v>0</v>
      </c>
      <c r="Q34" s="188" cm="1">
        <f t="array" ref="Q34">SUMPRODUCT(('Data for SPECIATE'!$C$5:$C$26='PM Protocol'!Q$1)*('Data for SPECIATE'!$M$1:$AZ$1='PM Protocol'!$A34)*'Data for SPECIATE'!$M$5:$AZ$26)/VLOOKUP(Q$1,'Data for SPECIATE'!$C$5:$L$26,10,FALSE)</f>
        <v>0</v>
      </c>
      <c r="R34" s="188" cm="1">
        <f t="array" ref="R34">SUMPRODUCT(('Data for SPECIATE'!$C$5:$C$26='PM Protocol'!R$1)*('Data for SPECIATE'!$M$1:$AZ$1='PM Protocol'!$A34)*'Data for SPECIATE'!$M$5:$AZ$26)/SUMPRODUCT(('Data for SPECIATE'!$C$5:$C$26='PM Protocol'!R$1)*'Data for SPECIATE'!$M$5:$AZ$26)</f>
        <v>0</v>
      </c>
      <c r="S34" s="188" cm="1">
        <f t="array" ref="S34">SUMPRODUCT(('Data for SPECIATE'!$C$5:$C$26='PM Protocol'!S$1)*('Data for SPECIATE'!$M$1:$AZ$1='PM Protocol'!$A34)*'Data for SPECIATE'!$M$5:$AZ$26)/VLOOKUP(S$1,'Data for SPECIATE'!$C$5:$L$26,10,FALSE)</f>
        <v>0</v>
      </c>
      <c r="T34" s="188" cm="1">
        <f t="array" ref="T34">SUMPRODUCT(('Data for SPECIATE'!$C$5:$C$26='PM Protocol'!T$1)*('Data for SPECIATE'!$M$1:$AZ$1='PM Protocol'!$A34)*'Data for SPECIATE'!$M$5:$AZ$26)/VLOOKUP(T$1,'Data for SPECIATE'!$C$5:$L$26,10,FALSE)</f>
        <v>0</v>
      </c>
      <c r="U34" s="188" cm="1">
        <f t="array" ref="U34">SUMPRODUCT(('Data for SPECIATE'!$C$5:$C$26='PM Protocol'!U$1)*('Data for SPECIATE'!$M$1:$AZ$1='PM Protocol'!$A34)*'Data for SPECIATE'!$M$5:$AZ$26)/VLOOKUP(U$1,'Data for SPECIATE'!$C$5:$L$26,10,FALSE)</f>
        <v>0</v>
      </c>
      <c r="V34" s="188" cm="1">
        <f t="array" ref="V34">SUMPRODUCT(('Data for SPECIATE'!$C$5:$C$26='PM Protocol'!V$1)*('Data for SPECIATE'!$M$1:$AZ$1='PM Protocol'!$A34)*'Data for SPECIATE'!$M$5:$AZ$26)/VLOOKUP(V$1,'Data for SPECIATE'!$C$5:$L$26,10,FALSE)</f>
        <v>0</v>
      </c>
      <c r="W34" s="188" cm="1">
        <f t="array" ref="W34">SUMPRODUCT(('Data for SPECIATE'!$C$5:$C$26='PM Protocol'!W$1)*('Data for SPECIATE'!$M$1:$AZ$1='PM Protocol'!$A34)*'Data for SPECIATE'!$M$5:$AZ$26)/VLOOKUP(W$1,'Data for SPECIATE'!$C$5:$L$26,10,FALSE)</f>
        <v>0</v>
      </c>
      <c r="X34" s="188" cm="1">
        <f t="array" ref="X34">SUMPRODUCT(('Data for SPECIATE'!$C$5:$C$26='PM Protocol'!X$1)*('Data for SPECIATE'!$M$1:$AZ$1='PM Protocol'!$A34)*'Data for SPECIATE'!$M$5:$AZ$26)/VLOOKUP(X$1,'Data for SPECIATE'!$C$5:$L$26,10,FALSE)</f>
        <v>0</v>
      </c>
      <c r="Y34" s="188" cm="1">
        <f t="array" ref="Y34">SUMPRODUCT(('Data for SPECIATE'!$C$5:$C$26='PM Protocol'!Y$1)*('Data for SPECIATE'!$M$1:$AZ$1='PM Protocol'!$A34)*'Data for SPECIATE'!$M$5:$AZ$26)/VLOOKUP(Y$1,'Data for SPECIATE'!$C$5:$L$26,10,FALSE)</f>
        <v>0</v>
      </c>
      <c r="Z34" s="188" cm="1">
        <f t="array" ref="Z34">SUMPRODUCT(('Data for SPECIATE'!$C$5:$C$26='PM Protocol'!Z$1)*('Data for SPECIATE'!$M$1:$AZ$1='PM Protocol'!$A34)*'Data for SPECIATE'!$M$5:$AZ$26)/VLOOKUP(Z$1,'Data for SPECIATE'!$C$5:$L$26,10,FALSE)</f>
        <v>0</v>
      </c>
    </row>
    <row r="35" spans="1:26">
      <c r="A35">
        <v>3246</v>
      </c>
      <c r="B35" t="s">
        <v>20</v>
      </c>
      <c r="C35" s="191">
        <f>IFERROR(VLOOKUP(A35,Oxides!$A$2:$G$39,7,FALSE),0)</f>
        <v>0</v>
      </c>
      <c r="D35" t="s">
        <v>693</v>
      </c>
      <c r="E35" s="188" cm="1">
        <f t="array" ref="E35">SUMPRODUCT(('Data for SPECIATE'!$C$5:$C$26='PM Protocol'!E$1)*('Data for SPECIATE'!$M$1:$AZ$1='PM Protocol'!$A35)*'Data for SPECIATE'!$M$5:$AZ$26)/VLOOKUP(E$1,'Data for SPECIATE'!$C$5:$L$26,10,FALSE)</f>
        <v>0</v>
      </c>
      <c r="F35" s="188" cm="1">
        <f t="array" ref="F35">SUMPRODUCT(('Data for SPECIATE'!$C$5:$C$26='PM Protocol'!F$1)*('Data for SPECIATE'!$M$1:$AZ$1='PM Protocol'!$A35)*'Data for SPECIATE'!$M$5:$AZ$26)/VLOOKUP(F$1,'Data for SPECIATE'!$C$5:$L$26,10,FALSE)</f>
        <v>0</v>
      </c>
      <c r="G35" s="188" cm="1">
        <f t="array" ref="G35">SUMPRODUCT(('Data for SPECIATE'!$C$5:$C$26='PM Protocol'!G$1)*('Data for SPECIATE'!$M$1:$AZ$1='PM Protocol'!$A35)*'Data for SPECIATE'!$M$5:$AZ$26)/VLOOKUP(G$1,'Data for SPECIATE'!$C$5:$L$26,10,FALSE)</f>
        <v>0</v>
      </c>
      <c r="H35" s="188" cm="1">
        <f t="array" ref="H35">SUMPRODUCT(('Data for SPECIATE'!$C$5:$C$26='PM Protocol'!H$1)*('Data for SPECIATE'!$M$1:$AZ$1='PM Protocol'!$A35)*'Data for SPECIATE'!$M$5:$AZ$26)/VLOOKUP(H$1,'Data for SPECIATE'!$C$5:$L$26,10,FALSE)</f>
        <v>0</v>
      </c>
      <c r="I35" s="188" cm="1">
        <f t="array" ref="I35">SUMPRODUCT(('Data for SPECIATE'!$C$5:$C$26='PM Protocol'!I$1)*('Data for SPECIATE'!$M$1:$AZ$1='PM Protocol'!$A35)*'Data for SPECIATE'!$M$5:$AZ$26)/VLOOKUP(I$1,'Data for SPECIATE'!$C$5:$L$26,10,FALSE)</f>
        <v>0</v>
      </c>
      <c r="J35" s="188" cm="1">
        <f t="array" ref="J35">SUMPRODUCT(('Data for SPECIATE'!$C$5:$C$26='PM Protocol'!J$1)*('Data for SPECIATE'!$M$1:$AZ$1='PM Protocol'!$A35)*'Data for SPECIATE'!$M$5:$AZ$26)/VLOOKUP(J$1,'Data for SPECIATE'!$C$5:$L$26,10,FALSE)</f>
        <v>0</v>
      </c>
      <c r="K35" s="188" cm="1">
        <f t="array" ref="K35">SUMPRODUCT(('Data for SPECIATE'!$C$5:$C$26='PM Protocol'!K$1)*('Data for SPECIATE'!$M$1:$AZ$1='PM Protocol'!$A35)*'Data for SPECIATE'!$M$5:$AZ$26)/VLOOKUP(K$1,'Data for SPECIATE'!$C$5:$L$26,10,FALSE)</f>
        <v>0</v>
      </c>
      <c r="L35" s="188" cm="1">
        <f t="array" ref="L35">SUMPRODUCT(('Data for SPECIATE'!$C$5:$C$26='PM Protocol'!L$1)*('Data for SPECIATE'!$M$1:$AZ$1='PM Protocol'!$A35)*'Data for SPECIATE'!$M$5:$AZ$26)/VLOOKUP(L$1,'Data for SPECIATE'!$C$5:$L$26,10,FALSE)</f>
        <v>0</v>
      </c>
      <c r="M35" s="188" cm="1">
        <f t="array" ref="M35">SUMPRODUCT(('Data for SPECIATE'!$C$5:$C$26='PM Protocol'!M$1)*('Data for SPECIATE'!$M$1:$AZ$1='PM Protocol'!$A35)*'Data for SPECIATE'!$M$5:$AZ$26)/VLOOKUP(M$1,'Data for SPECIATE'!$C$5:$L$26,10,FALSE)</f>
        <v>0</v>
      </c>
      <c r="N35" s="188" cm="1">
        <f t="array" ref="N35">SUMPRODUCT(('Data for SPECIATE'!$C$5:$C$26='PM Protocol'!N$1)*('Data for SPECIATE'!$M$1:$AZ$1='PM Protocol'!$A35)*'Data for SPECIATE'!$M$5:$AZ$26)/VLOOKUP(N$1,'Data for SPECIATE'!$C$5:$L$26,10,FALSE)</f>
        <v>0</v>
      </c>
      <c r="O35" s="188" cm="1">
        <f t="array" ref="O35">SUMPRODUCT(('Data for SPECIATE'!$C$5:$C$26='PM Protocol'!O$1)*('Data for SPECIATE'!$M$1:$AZ$1='PM Protocol'!$A35)*'Data for SPECIATE'!$M$5:$AZ$26)/VLOOKUP(O$1,'Data for SPECIATE'!$C$5:$L$26,10,FALSE)</f>
        <v>0</v>
      </c>
      <c r="P35" s="188" cm="1">
        <f t="array" ref="P35">SUMPRODUCT(('Data for SPECIATE'!$C$5:$C$26='PM Protocol'!P$1)*('Data for SPECIATE'!$M$1:$AZ$1='PM Protocol'!$A35)*'Data for SPECIATE'!$M$5:$AZ$26)/VLOOKUP(P$1,'Data for SPECIATE'!$C$5:$L$26,10,FALSE)</f>
        <v>0</v>
      </c>
      <c r="Q35" s="188" cm="1">
        <f t="array" ref="Q35">SUMPRODUCT(('Data for SPECIATE'!$C$5:$C$26='PM Protocol'!Q$1)*('Data for SPECIATE'!$M$1:$AZ$1='PM Protocol'!$A35)*'Data for SPECIATE'!$M$5:$AZ$26)/VLOOKUP(Q$1,'Data for SPECIATE'!$C$5:$L$26,10,FALSE)</f>
        <v>0</v>
      </c>
      <c r="R35" s="188" cm="1">
        <f t="array" ref="R35">SUMPRODUCT(('Data for SPECIATE'!$C$5:$C$26='PM Protocol'!R$1)*('Data for SPECIATE'!$M$1:$AZ$1='PM Protocol'!$A35)*'Data for SPECIATE'!$M$5:$AZ$26)/SUMPRODUCT(('Data for SPECIATE'!$C$5:$C$26='PM Protocol'!R$1)*'Data for SPECIATE'!$M$5:$AZ$26)</f>
        <v>0</v>
      </c>
      <c r="S35" s="188" cm="1">
        <f t="array" ref="S35">SUMPRODUCT(('Data for SPECIATE'!$C$5:$C$26='PM Protocol'!S$1)*('Data for SPECIATE'!$M$1:$AZ$1='PM Protocol'!$A35)*'Data for SPECIATE'!$M$5:$AZ$26)/VLOOKUP(S$1,'Data for SPECIATE'!$C$5:$L$26,10,FALSE)</f>
        <v>0</v>
      </c>
      <c r="T35" s="188" cm="1">
        <f t="array" ref="T35">SUMPRODUCT(('Data for SPECIATE'!$C$5:$C$26='PM Protocol'!T$1)*('Data for SPECIATE'!$M$1:$AZ$1='PM Protocol'!$A35)*'Data for SPECIATE'!$M$5:$AZ$26)/VLOOKUP(T$1,'Data for SPECIATE'!$C$5:$L$26,10,FALSE)</f>
        <v>0</v>
      </c>
      <c r="U35" s="188" cm="1">
        <f t="array" ref="U35">SUMPRODUCT(('Data for SPECIATE'!$C$5:$C$26='PM Protocol'!U$1)*('Data for SPECIATE'!$M$1:$AZ$1='PM Protocol'!$A35)*'Data for SPECIATE'!$M$5:$AZ$26)/VLOOKUP(U$1,'Data for SPECIATE'!$C$5:$L$26,10,FALSE)</f>
        <v>0</v>
      </c>
      <c r="V35" s="188" cm="1">
        <f t="array" ref="V35">SUMPRODUCT(('Data for SPECIATE'!$C$5:$C$26='PM Protocol'!V$1)*('Data for SPECIATE'!$M$1:$AZ$1='PM Protocol'!$A35)*'Data for SPECIATE'!$M$5:$AZ$26)/VLOOKUP(V$1,'Data for SPECIATE'!$C$5:$L$26,10,FALSE)</f>
        <v>0</v>
      </c>
      <c r="W35" s="188" cm="1">
        <f t="array" ref="W35">SUMPRODUCT(('Data for SPECIATE'!$C$5:$C$26='PM Protocol'!W$1)*('Data for SPECIATE'!$M$1:$AZ$1='PM Protocol'!$A35)*'Data for SPECIATE'!$M$5:$AZ$26)/VLOOKUP(W$1,'Data for SPECIATE'!$C$5:$L$26,10,FALSE)</f>
        <v>0</v>
      </c>
      <c r="X35" s="188" cm="1">
        <f t="array" ref="X35">SUMPRODUCT(('Data for SPECIATE'!$C$5:$C$26='PM Protocol'!X$1)*('Data for SPECIATE'!$M$1:$AZ$1='PM Protocol'!$A35)*'Data for SPECIATE'!$M$5:$AZ$26)/VLOOKUP(X$1,'Data for SPECIATE'!$C$5:$L$26,10,FALSE)</f>
        <v>0</v>
      </c>
      <c r="Y35" s="188" cm="1">
        <f t="array" ref="Y35">SUMPRODUCT(('Data for SPECIATE'!$C$5:$C$26='PM Protocol'!Y$1)*('Data for SPECIATE'!$M$1:$AZ$1='PM Protocol'!$A35)*'Data for SPECIATE'!$M$5:$AZ$26)/VLOOKUP(Y$1,'Data for SPECIATE'!$C$5:$L$26,10,FALSE)</f>
        <v>0</v>
      </c>
      <c r="Z35" s="188" cm="1">
        <f t="array" ref="Z35">SUMPRODUCT(('Data for SPECIATE'!$C$5:$C$26='PM Protocol'!Z$1)*('Data for SPECIATE'!$M$1:$AZ$1='PM Protocol'!$A35)*'Data for SPECIATE'!$M$5:$AZ$26)/VLOOKUP(Z$1,'Data for SPECIATE'!$C$5:$L$26,10,FALSE)</f>
        <v>0</v>
      </c>
    </row>
    <row r="36" spans="1:26">
      <c r="A36">
        <v>3247</v>
      </c>
      <c r="B36" t="s">
        <v>20</v>
      </c>
      <c r="C36" s="191">
        <f>IFERROR(VLOOKUP(A36,Oxides!$A$2:$G$39,7,FALSE),0)</f>
        <v>0</v>
      </c>
      <c r="D36" t="s">
        <v>694</v>
      </c>
      <c r="E36" s="188" cm="1">
        <f t="array" ref="E36">SUMPRODUCT(('Data for SPECIATE'!$C$5:$C$26='PM Protocol'!E$1)*('Data for SPECIATE'!$M$1:$AZ$1='PM Protocol'!$A36)*'Data for SPECIATE'!$M$5:$AZ$26)/VLOOKUP(E$1,'Data for SPECIATE'!$C$5:$L$26,10,FALSE)</f>
        <v>0</v>
      </c>
      <c r="F36" s="188" cm="1">
        <f t="array" ref="F36">SUMPRODUCT(('Data for SPECIATE'!$C$5:$C$26='PM Protocol'!F$1)*('Data for SPECIATE'!$M$1:$AZ$1='PM Protocol'!$A36)*'Data for SPECIATE'!$M$5:$AZ$26)/VLOOKUP(F$1,'Data for SPECIATE'!$C$5:$L$26,10,FALSE)</f>
        <v>0</v>
      </c>
      <c r="G36" s="188" cm="1">
        <f t="array" ref="G36">SUMPRODUCT(('Data for SPECIATE'!$C$5:$C$26='PM Protocol'!G$1)*('Data for SPECIATE'!$M$1:$AZ$1='PM Protocol'!$A36)*'Data for SPECIATE'!$M$5:$AZ$26)/VLOOKUP(G$1,'Data for SPECIATE'!$C$5:$L$26,10,FALSE)</f>
        <v>0</v>
      </c>
      <c r="H36" s="188" cm="1">
        <f t="array" ref="H36">SUMPRODUCT(('Data for SPECIATE'!$C$5:$C$26='PM Protocol'!H$1)*('Data for SPECIATE'!$M$1:$AZ$1='PM Protocol'!$A36)*'Data for SPECIATE'!$M$5:$AZ$26)/VLOOKUP(H$1,'Data for SPECIATE'!$C$5:$L$26,10,FALSE)</f>
        <v>0</v>
      </c>
      <c r="I36" s="188" cm="1">
        <f t="array" ref="I36">SUMPRODUCT(('Data for SPECIATE'!$C$5:$C$26='PM Protocol'!I$1)*('Data for SPECIATE'!$M$1:$AZ$1='PM Protocol'!$A36)*'Data for SPECIATE'!$M$5:$AZ$26)/VLOOKUP(I$1,'Data for SPECIATE'!$C$5:$L$26,10,FALSE)</f>
        <v>0</v>
      </c>
      <c r="J36" s="188" cm="1">
        <f t="array" ref="J36">SUMPRODUCT(('Data for SPECIATE'!$C$5:$C$26='PM Protocol'!J$1)*('Data for SPECIATE'!$M$1:$AZ$1='PM Protocol'!$A36)*'Data for SPECIATE'!$M$5:$AZ$26)/VLOOKUP(J$1,'Data for SPECIATE'!$C$5:$L$26,10,FALSE)</f>
        <v>0</v>
      </c>
      <c r="K36" s="188" cm="1">
        <f t="array" ref="K36">SUMPRODUCT(('Data for SPECIATE'!$C$5:$C$26='PM Protocol'!K$1)*('Data for SPECIATE'!$M$1:$AZ$1='PM Protocol'!$A36)*'Data for SPECIATE'!$M$5:$AZ$26)/VLOOKUP(K$1,'Data for SPECIATE'!$C$5:$L$26,10,FALSE)</f>
        <v>0</v>
      </c>
      <c r="L36" s="188" cm="1">
        <f t="array" ref="L36">SUMPRODUCT(('Data for SPECIATE'!$C$5:$C$26='PM Protocol'!L$1)*('Data for SPECIATE'!$M$1:$AZ$1='PM Protocol'!$A36)*'Data for SPECIATE'!$M$5:$AZ$26)/VLOOKUP(L$1,'Data for SPECIATE'!$C$5:$L$26,10,FALSE)</f>
        <v>0</v>
      </c>
      <c r="M36" s="188" cm="1">
        <f t="array" ref="M36">SUMPRODUCT(('Data for SPECIATE'!$C$5:$C$26='PM Protocol'!M$1)*('Data for SPECIATE'!$M$1:$AZ$1='PM Protocol'!$A36)*'Data for SPECIATE'!$M$5:$AZ$26)/VLOOKUP(M$1,'Data for SPECIATE'!$C$5:$L$26,10,FALSE)</f>
        <v>0</v>
      </c>
      <c r="N36" s="188" cm="1">
        <f t="array" ref="N36">SUMPRODUCT(('Data for SPECIATE'!$C$5:$C$26='PM Protocol'!N$1)*('Data for SPECIATE'!$M$1:$AZ$1='PM Protocol'!$A36)*'Data for SPECIATE'!$M$5:$AZ$26)/VLOOKUP(N$1,'Data for SPECIATE'!$C$5:$L$26,10,FALSE)</f>
        <v>0</v>
      </c>
      <c r="O36" s="188" cm="1">
        <f t="array" ref="O36">SUMPRODUCT(('Data for SPECIATE'!$C$5:$C$26='PM Protocol'!O$1)*('Data for SPECIATE'!$M$1:$AZ$1='PM Protocol'!$A36)*'Data for SPECIATE'!$M$5:$AZ$26)/VLOOKUP(O$1,'Data for SPECIATE'!$C$5:$L$26,10,FALSE)</f>
        <v>0</v>
      </c>
      <c r="P36" s="188" cm="1">
        <f t="array" ref="P36">SUMPRODUCT(('Data for SPECIATE'!$C$5:$C$26='PM Protocol'!P$1)*('Data for SPECIATE'!$M$1:$AZ$1='PM Protocol'!$A36)*'Data for SPECIATE'!$M$5:$AZ$26)/VLOOKUP(P$1,'Data for SPECIATE'!$C$5:$L$26,10,FALSE)</f>
        <v>0</v>
      </c>
      <c r="Q36" s="188" cm="1">
        <f t="array" ref="Q36">SUMPRODUCT(('Data for SPECIATE'!$C$5:$C$26='PM Protocol'!Q$1)*('Data for SPECIATE'!$M$1:$AZ$1='PM Protocol'!$A36)*'Data for SPECIATE'!$M$5:$AZ$26)/VLOOKUP(Q$1,'Data for SPECIATE'!$C$5:$L$26,10,FALSE)</f>
        <v>0</v>
      </c>
      <c r="R36" s="188" cm="1">
        <f t="array" ref="R36">SUMPRODUCT(('Data for SPECIATE'!$C$5:$C$26='PM Protocol'!R$1)*('Data for SPECIATE'!$M$1:$AZ$1='PM Protocol'!$A36)*'Data for SPECIATE'!$M$5:$AZ$26)/SUMPRODUCT(('Data for SPECIATE'!$C$5:$C$26='PM Protocol'!R$1)*'Data for SPECIATE'!$M$5:$AZ$26)</f>
        <v>0</v>
      </c>
      <c r="S36" s="188" cm="1">
        <f t="array" ref="S36">SUMPRODUCT(('Data for SPECIATE'!$C$5:$C$26='PM Protocol'!S$1)*('Data for SPECIATE'!$M$1:$AZ$1='PM Protocol'!$A36)*'Data for SPECIATE'!$M$5:$AZ$26)/VLOOKUP(S$1,'Data for SPECIATE'!$C$5:$L$26,10,FALSE)</f>
        <v>0</v>
      </c>
      <c r="T36" s="188" cm="1">
        <f t="array" ref="T36">SUMPRODUCT(('Data for SPECIATE'!$C$5:$C$26='PM Protocol'!T$1)*('Data for SPECIATE'!$M$1:$AZ$1='PM Protocol'!$A36)*'Data for SPECIATE'!$M$5:$AZ$26)/VLOOKUP(T$1,'Data for SPECIATE'!$C$5:$L$26,10,FALSE)</f>
        <v>0</v>
      </c>
      <c r="U36" s="188" cm="1">
        <f t="array" ref="U36">SUMPRODUCT(('Data for SPECIATE'!$C$5:$C$26='PM Protocol'!U$1)*('Data for SPECIATE'!$M$1:$AZ$1='PM Protocol'!$A36)*'Data for SPECIATE'!$M$5:$AZ$26)/VLOOKUP(U$1,'Data for SPECIATE'!$C$5:$L$26,10,FALSE)</f>
        <v>0</v>
      </c>
      <c r="V36" s="188" cm="1">
        <f t="array" ref="V36">SUMPRODUCT(('Data for SPECIATE'!$C$5:$C$26='PM Protocol'!V$1)*('Data for SPECIATE'!$M$1:$AZ$1='PM Protocol'!$A36)*'Data for SPECIATE'!$M$5:$AZ$26)/VLOOKUP(V$1,'Data for SPECIATE'!$C$5:$L$26,10,FALSE)</f>
        <v>0</v>
      </c>
      <c r="W36" s="188" cm="1">
        <f t="array" ref="W36">SUMPRODUCT(('Data for SPECIATE'!$C$5:$C$26='PM Protocol'!W$1)*('Data for SPECIATE'!$M$1:$AZ$1='PM Protocol'!$A36)*'Data for SPECIATE'!$M$5:$AZ$26)/VLOOKUP(W$1,'Data for SPECIATE'!$C$5:$L$26,10,FALSE)</f>
        <v>0</v>
      </c>
      <c r="X36" s="188" cm="1">
        <f t="array" ref="X36">SUMPRODUCT(('Data for SPECIATE'!$C$5:$C$26='PM Protocol'!X$1)*('Data for SPECIATE'!$M$1:$AZ$1='PM Protocol'!$A36)*'Data for SPECIATE'!$M$5:$AZ$26)/VLOOKUP(X$1,'Data for SPECIATE'!$C$5:$L$26,10,FALSE)</f>
        <v>0</v>
      </c>
      <c r="Y36" s="188" cm="1">
        <f t="array" ref="Y36">SUMPRODUCT(('Data for SPECIATE'!$C$5:$C$26='PM Protocol'!Y$1)*('Data for SPECIATE'!$M$1:$AZ$1='PM Protocol'!$A36)*'Data for SPECIATE'!$M$5:$AZ$26)/VLOOKUP(Y$1,'Data for SPECIATE'!$C$5:$L$26,10,FALSE)</f>
        <v>0</v>
      </c>
      <c r="Z36" s="188" cm="1">
        <f t="array" ref="Z36">SUMPRODUCT(('Data for SPECIATE'!$C$5:$C$26='PM Protocol'!Z$1)*('Data for SPECIATE'!$M$1:$AZ$1='PM Protocol'!$A36)*'Data for SPECIATE'!$M$5:$AZ$26)/VLOOKUP(Z$1,'Data for SPECIATE'!$C$5:$L$26,10,FALSE)</f>
        <v>0</v>
      </c>
    </row>
    <row r="37" spans="1:26">
      <c r="A37">
        <v>3248</v>
      </c>
      <c r="B37" t="s">
        <v>20</v>
      </c>
      <c r="C37" s="191">
        <f>IFERROR(VLOOKUP(A37,Oxides!$A$2:$G$39,7,FALSE),0)</f>
        <v>0</v>
      </c>
      <c r="D37" t="s">
        <v>695</v>
      </c>
      <c r="E37" s="188" cm="1">
        <f t="array" ref="E37">SUMPRODUCT(('Data for SPECIATE'!$C$5:$C$26='PM Protocol'!E$1)*('Data for SPECIATE'!$M$1:$AZ$1='PM Protocol'!$A37)*'Data for SPECIATE'!$M$5:$AZ$26)/VLOOKUP(E$1,'Data for SPECIATE'!$C$5:$L$26,10,FALSE)</f>
        <v>0</v>
      </c>
      <c r="F37" s="188" cm="1">
        <f t="array" ref="F37">SUMPRODUCT(('Data for SPECIATE'!$C$5:$C$26='PM Protocol'!F$1)*('Data for SPECIATE'!$M$1:$AZ$1='PM Protocol'!$A37)*'Data for SPECIATE'!$M$5:$AZ$26)/VLOOKUP(F$1,'Data for SPECIATE'!$C$5:$L$26,10,FALSE)</f>
        <v>0</v>
      </c>
      <c r="G37" s="188" cm="1">
        <f t="array" ref="G37">SUMPRODUCT(('Data for SPECIATE'!$C$5:$C$26='PM Protocol'!G$1)*('Data for SPECIATE'!$M$1:$AZ$1='PM Protocol'!$A37)*'Data for SPECIATE'!$M$5:$AZ$26)/VLOOKUP(G$1,'Data for SPECIATE'!$C$5:$L$26,10,FALSE)</f>
        <v>0</v>
      </c>
      <c r="H37" s="188" cm="1">
        <f t="array" ref="H37">SUMPRODUCT(('Data for SPECIATE'!$C$5:$C$26='PM Protocol'!H$1)*('Data for SPECIATE'!$M$1:$AZ$1='PM Protocol'!$A37)*'Data for SPECIATE'!$M$5:$AZ$26)/VLOOKUP(H$1,'Data for SPECIATE'!$C$5:$L$26,10,FALSE)</f>
        <v>0</v>
      </c>
      <c r="I37" s="188" cm="1">
        <f t="array" ref="I37">SUMPRODUCT(('Data for SPECIATE'!$C$5:$C$26='PM Protocol'!I$1)*('Data for SPECIATE'!$M$1:$AZ$1='PM Protocol'!$A37)*'Data for SPECIATE'!$M$5:$AZ$26)/VLOOKUP(I$1,'Data for SPECIATE'!$C$5:$L$26,10,FALSE)</f>
        <v>0</v>
      </c>
      <c r="J37" s="188" cm="1">
        <f t="array" ref="J37">SUMPRODUCT(('Data for SPECIATE'!$C$5:$C$26='PM Protocol'!J$1)*('Data for SPECIATE'!$M$1:$AZ$1='PM Protocol'!$A37)*'Data for SPECIATE'!$M$5:$AZ$26)/VLOOKUP(J$1,'Data for SPECIATE'!$C$5:$L$26,10,FALSE)</f>
        <v>0</v>
      </c>
      <c r="K37" s="188" cm="1">
        <f t="array" ref="K37">SUMPRODUCT(('Data for SPECIATE'!$C$5:$C$26='PM Protocol'!K$1)*('Data for SPECIATE'!$M$1:$AZ$1='PM Protocol'!$A37)*'Data for SPECIATE'!$M$5:$AZ$26)/VLOOKUP(K$1,'Data for SPECIATE'!$C$5:$L$26,10,FALSE)</f>
        <v>0</v>
      </c>
      <c r="L37" s="188" cm="1">
        <f t="array" ref="L37">SUMPRODUCT(('Data for SPECIATE'!$C$5:$C$26='PM Protocol'!L$1)*('Data for SPECIATE'!$M$1:$AZ$1='PM Protocol'!$A37)*'Data for SPECIATE'!$M$5:$AZ$26)/VLOOKUP(L$1,'Data for SPECIATE'!$C$5:$L$26,10,FALSE)</f>
        <v>0</v>
      </c>
      <c r="M37" s="188" cm="1">
        <f t="array" ref="M37">SUMPRODUCT(('Data for SPECIATE'!$C$5:$C$26='PM Protocol'!M$1)*('Data for SPECIATE'!$M$1:$AZ$1='PM Protocol'!$A37)*'Data for SPECIATE'!$M$5:$AZ$26)/VLOOKUP(M$1,'Data for SPECIATE'!$C$5:$L$26,10,FALSE)</f>
        <v>0</v>
      </c>
      <c r="N37" s="188" cm="1">
        <f t="array" ref="N37">SUMPRODUCT(('Data for SPECIATE'!$C$5:$C$26='PM Protocol'!N$1)*('Data for SPECIATE'!$M$1:$AZ$1='PM Protocol'!$A37)*'Data for SPECIATE'!$M$5:$AZ$26)/VLOOKUP(N$1,'Data for SPECIATE'!$C$5:$L$26,10,FALSE)</f>
        <v>0</v>
      </c>
      <c r="O37" s="188" cm="1">
        <f t="array" ref="O37">SUMPRODUCT(('Data for SPECIATE'!$C$5:$C$26='PM Protocol'!O$1)*('Data for SPECIATE'!$M$1:$AZ$1='PM Protocol'!$A37)*'Data for SPECIATE'!$M$5:$AZ$26)/VLOOKUP(O$1,'Data for SPECIATE'!$C$5:$L$26,10,FALSE)</f>
        <v>0</v>
      </c>
      <c r="P37" s="188" cm="1">
        <f t="array" ref="P37">SUMPRODUCT(('Data for SPECIATE'!$C$5:$C$26='PM Protocol'!P$1)*('Data for SPECIATE'!$M$1:$AZ$1='PM Protocol'!$A37)*'Data for SPECIATE'!$M$5:$AZ$26)/VLOOKUP(P$1,'Data for SPECIATE'!$C$5:$L$26,10,FALSE)</f>
        <v>0</v>
      </c>
      <c r="Q37" s="188" cm="1">
        <f t="array" ref="Q37">SUMPRODUCT(('Data for SPECIATE'!$C$5:$C$26='PM Protocol'!Q$1)*('Data for SPECIATE'!$M$1:$AZ$1='PM Protocol'!$A37)*'Data for SPECIATE'!$M$5:$AZ$26)/VLOOKUP(Q$1,'Data for SPECIATE'!$C$5:$L$26,10,FALSE)</f>
        <v>0</v>
      </c>
      <c r="R37" s="188" cm="1">
        <f t="array" ref="R37">SUMPRODUCT(('Data for SPECIATE'!$C$5:$C$26='PM Protocol'!R$1)*('Data for SPECIATE'!$M$1:$AZ$1='PM Protocol'!$A37)*'Data for SPECIATE'!$M$5:$AZ$26)/SUMPRODUCT(('Data for SPECIATE'!$C$5:$C$26='PM Protocol'!R$1)*'Data for SPECIATE'!$M$5:$AZ$26)</f>
        <v>0</v>
      </c>
      <c r="S37" s="188" cm="1">
        <f t="array" ref="S37">SUMPRODUCT(('Data for SPECIATE'!$C$5:$C$26='PM Protocol'!S$1)*('Data for SPECIATE'!$M$1:$AZ$1='PM Protocol'!$A37)*'Data for SPECIATE'!$M$5:$AZ$26)/VLOOKUP(S$1,'Data for SPECIATE'!$C$5:$L$26,10,FALSE)</f>
        <v>0</v>
      </c>
      <c r="T37" s="188" cm="1">
        <f t="array" ref="T37">SUMPRODUCT(('Data for SPECIATE'!$C$5:$C$26='PM Protocol'!T$1)*('Data for SPECIATE'!$M$1:$AZ$1='PM Protocol'!$A37)*'Data for SPECIATE'!$M$5:$AZ$26)/VLOOKUP(T$1,'Data for SPECIATE'!$C$5:$L$26,10,FALSE)</f>
        <v>0</v>
      </c>
      <c r="U37" s="188" cm="1">
        <f t="array" ref="U37">SUMPRODUCT(('Data for SPECIATE'!$C$5:$C$26='PM Protocol'!U$1)*('Data for SPECIATE'!$M$1:$AZ$1='PM Protocol'!$A37)*'Data for SPECIATE'!$M$5:$AZ$26)/VLOOKUP(U$1,'Data for SPECIATE'!$C$5:$L$26,10,FALSE)</f>
        <v>0</v>
      </c>
      <c r="V37" s="188" cm="1">
        <f t="array" ref="V37">SUMPRODUCT(('Data for SPECIATE'!$C$5:$C$26='PM Protocol'!V$1)*('Data for SPECIATE'!$M$1:$AZ$1='PM Protocol'!$A37)*'Data for SPECIATE'!$M$5:$AZ$26)/VLOOKUP(V$1,'Data for SPECIATE'!$C$5:$L$26,10,FALSE)</f>
        <v>0</v>
      </c>
      <c r="W37" s="188" cm="1">
        <f t="array" ref="W37">SUMPRODUCT(('Data for SPECIATE'!$C$5:$C$26='PM Protocol'!W$1)*('Data for SPECIATE'!$M$1:$AZ$1='PM Protocol'!$A37)*'Data for SPECIATE'!$M$5:$AZ$26)/VLOOKUP(W$1,'Data for SPECIATE'!$C$5:$L$26,10,FALSE)</f>
        <v>0</v>
      </c>
      <c r="X37" s="188" cm="1">
        <f t="array" ref="X37">SUMPRODUCT(('Data for SPECIATE'!$C$5:$C$26='PM Protocol'!X$1)*('Data for SPECIATE'!$M$1:$AZ$1='PM Protocol'!$A37)*'Data for SPECIATE'!$M$5:$AZ$26)/VLOOKUP(X$1,'Data for SPECIATE'!$C$5:$L$26,10,FALSE)</f>
        <v>0</v>
      </c>
      <c r="Y37" s="188" cm="1">
        <f t="array" ref="Y37">SUMPRODUCT(('Data for SPECIATE'!$C$5:$C$26='PM Protocol'!Y$1)*('Data for SPECIATE'!$M$1:$AZ$1='PM Protocol'!$A37)*'Data for SPECIATE'!$M$5:$AZ$26)/VLOOKUP(Y$1,'Data for SPECIATE'!$C$5:$L$26,10,FALSE)</f>
        <v>0</v>
      </c>
      <c r="Z37" s="188" cm="1">
        <f t="array" ref="Z37">SUMPRODUCT(('Data for SPECIATE'!$C$5:$C$26='PM Protocol'!Z$1)*('Data for SPECIATE'!$M$1:$AZ$1='PM Protocol'!$A37)*'Data for SPECIATE'!$M$5:$AZ$26)/VLOOKUP(Z$1,'Data for SPECIATE'!$C$5:$L$26,10,FALSE)</f>
        <v>0</v>
      </c>
    </row>
    <row r="38" spans="1:26">
      <c r="A38">
        <v>3249</v>
      </c>
      <c r="B38" t="s">
        <v>20</v>
      </c>
      <c r="C38" s="191">
        <f>IFERROR(VLOOKUP(A38,Oxides!$A$2:$G$39,7,FALSE),0)</f>
        <v>0</v>
      </c>
      <c r="D38" t="s">
        <v>696</v>
      </c>
      <c r="E38" s="188" cm="1">
        <f t="array" ref="E38">SUMPRODUCT(('Data for SPECIATE'!$C$5:$C$26='PM Protocol'!E$1)*('Data for SPECIATE'!$M$1:$AZ$1='PM Protocol'!$A38)*'Data for SPECIATE'!$M$5:$AZ$26)/VLOOKUP(E$1,'Data for SPECIATE'!$C$5:$L$26,10,FALSE)</f>
        <v>0</v>
      </c>
      <c r="F38" s="188" cm="1">
        <f t="array" ref="F38">SUMPRODUCT(('Data for SPECIATE'!$C$5:$C$26='PM Protocol'!F$1)*('Data for SPECIATE'!$M$1:$AZ$1='PM Protocol'!$A38)*'Data for SPECIATE'!$M$5:$AZ$26)/VLOOKUP(F$1,'Data for SPECIATE'!$C$5:$L$26,10,FALSE)</f>
        <v>0</v>
      </c>
      <c r="G38" s="188" cm="1">
        <f t="array" ref="G38">SUMPRODUCT(('Data for SPECIATE'!$C$5:$C$26='PM Protocol'!G$1)*('Data for SPECIATE'!$M$1:$AZ$1='PM Protocol'!$A38)*'Data for SPECIATE'!$M$5:$AZ$26)/VLOOKUP(G$1,'Data for SPECIATE'!$C$5:$L$26,10,FALSE)</f>
        <v>0</v>
      </c>
      <c r="H38" s="188" cm="1">
        <f t="array" ref="H38">SUMPRODUCT(('Data for SPECIATE'!$C$5:$C$26='PM Protocol'!H$1)*('Data for SPECIATE'!$M$1:$AZ$1='PM Protocol'!$A38)*'Data for SPECIATE'!$M$5:$AZ$26)/VLOOKUP(H$1,'Data for SPECIATE'!$C$5:$L$26,10,FALSE)</f>
        <v>0</v>
      </c>
      <c r="I38" s="188" cm="1">
        <f t="array" ref="I38">SUMPRODUCT(('Data for SPECIATE'!$C$5:$C$26='PM Protocol'!I$1)*('Data for SPECIATE'!$M$1:$AZ$1='PM Protocol'!$A38)*'Data for SPECIATE'!$M$5:$AZ$26)/VLOOKUP(I$1,'Data for SPECIATE'!$C$5:$L$26,10,FALSE)</f>
        <v>0</v>
      </c>
      <c r="J38" s="188" cm="1">
        <f t="array" ref="J38">SUMPRODUCT(('Data for SPECIATE'!$C$5:$C$26='PM Protocol'!J$1)*('Data for SPECIATE'!$M$1:$AZ$1='PM Protocol'!$A38)*'Data for SPECIATE'!$M$5:$AZ$26)/VLOOKUP(J$1,'Data for SPECIATE'!$C$5:$L$26,10,FALSE)</f>
        <v>0</v>
      </c>
      <c r="K38" s="188" cm="1">
        <f t="array" ref="K38">SUMPRODUCT(('Data for SPECIATE'!$C$5:$C$26='PM Protocol'!K$1)*('Data for SPECIATE'!$M$1:$AZ$1='PM Protocol'!$A38)*'Data for SPECIATE'!$M$5:$AZ$26)/VLOOKUP(K$1,'Data for SPECIATE'!$C$5:$L$26,10,FALSE)</f>
        <v>0</v>
      </c>
      <c r="L38" s="188" cm="1">
        <f t="array" ref="L38">SUMPRODUCT(('Data for SPECIATE'!$C$5:$C$26='PM Protocol'!L$1)*('Data for SPECIATE'!$M$1:$AZ$1='PM Protocol'!$A38)*'Data for SPECIATE'!$M$5:$AZ$26)/VLOOKUP(L$1,'Data for SPECIATE'!$C$5:$L$26,10,FALSE)</f>
        <v>0</v>
      </c>
      <c r="M38" s="188" cm="1">
        <f t="array" ref="M38">SUMPRODUCT(('Data for SPECIATE'!$C$5:$C$26='PM Protocol'!M$1)*('Data for SPECIATE'!$M$1:$AZ$1='PM Protocol'!$A38)*'Data for SPECIATE'!$M$5:$AZ$26)/VLOOKUP(M$1,'Data for SPECIATE'!$C$5:$L$26,10,FALSE)</f>
        <v>0</v>
      </c>
      <c r="N38" s="188" cm="1">
        <f t="array" ref="N38">SUMPRODUCT(('Data for SPECIATE'!$C$5:$C$26='PM Protocol'!N$1)*('Data for SPECIATE'!$M$1:$AZ$1='PM Protocol'!$A38)*'Data for SPECIATE'!$M$5:$AZ$26)/VLOOKUP(N$1,'Data for SPECIATE'!$C$5:$L$26,10,FALSE)</f>
        <v>0</v>
      </c>
      <c r="O38" s="188" cm="1">
        <f t="array" ref="O38">SUMPRODUCT(('Data for SPECIATE'!$C$5:$C$26='PM Protocol'!O$1)*('Data for SPECIATE'!$M$1:$AZ$1='PM Protocol'!$A38)*'Data for SPECIATE'!$M$5:$AZ$26)/VLOOKUP(O$1,'Data for SPECIATE'!$C$5:$L$26,10,FALSE)</f>
        <v>0</v>
      </c>
      <c r="P38" s="188" cm="1">
        <f t="array" ref="P38">SUMPRODUCT(('Data for SPECIATE'!$C$5:$C$26='PM Protocol'!P$1)*('Data for SPECIATE'!$M$1:$AZ$1='PM Protocol'!$A38)*'Data for SPECIATE'!$M$5:$AZ$26)/VLOOKUP(P$1,'Data for SPECIATE'!$C$5:$L$26,10,FALSE)</f>
        <v>0</v>
      </c>
      <c r="Q38" s="188" cm="1">
        <f t="array" ref="Q38">SUMPRODUCT(('Data for SPECIATE'!$C$5:$C$26='PM Protocol'!Q$1)*('Data for SPECIATE'!$M$1:$AZ$1='PM Protocol'!$A38)*'Data for SPECIATE'!$M$5:$AZ$26)/VLOOKUP(Q$1,'Data for SPECIATE'!$C$5:$L$26,10,FALSE)</f>
        <v>0</v>
      </c>
      <c r="R38" s="188" cm="1">
        <f t="array" ref="R38">SUMPRODUCT(('Data for SPECIATE'!$C$5:$C$26='PM Protocol'!R$1)*('Data for SPECIATE'!$M$1:$AZ$1='PM Protocol'!$A38)*'Data for SPECIATE'!$M$5:$AZ$26)/SUMPRODUCT(('Data for SPECIATE'!$C$5:$C$26='PM Protocol'!R$1)*'Data for SPECIATE'!$M$5:$AZ$26)</f>
        <v>0</v>
      </c>
      <c r="S38" s="188" cm="1">
        <f t="array" ref="S38">SUMPRODUCT(('Data for SPECIATE'!$C$5:$C$26='PM Protocol'!S$1)*('Data for SPECIATE'!$M$1:$AZ$1='PM Protocol'!$A38)*'Data for SPECIATE'!$M$5:$AZ$26)/VLOOKUP(S$1,'Data for SPECIATE'!$C$5:$L$26,10,FALSE)</f>
        <v>0</v>
      </c>
      <c r="T38" s="188" cm="1">
        <f t="array" ref="T38">SUMPRODUCT(('Data for SPECIATE'!$C$5:$C$26='PM Protocol'!T$1)*('Data for SPECIATE'!$M$1:$AZ$1='PM Protocol'!$A38)*'Data for SPECIATE'!$M$5:$AZ$26)/VLOOKUP(T$1,'Data for SPECIATE'!$C$5:$L$26,10,FALSE)</f>
        <v>0</v>
      </c>
      <c r="U38" s="188" cm="1">
        <f t="array" ref="U38">SUMPRODUCT(('Data for SPECIATE'!$C$5:$C$26='PM Protocol'!U$1)*('Data for SPECIATE'!$M$1:$AZ$1='PM Protocol'!$A38)*'Data for SPECIATE'!$M$5:$AZ$26)/VLOOKUP(U$1,'Data for SPECIATE'!$C$5:$L$26,10,FALSE)</f>
        <v>0</v>
      </c>
      <c r="V38" s="188" cm="1">
        <f t="array" ref="V38">SUMPRODUCT(('Data for SPECIATE'!$C$5:$C$26='PM Protocol'!V$1)*('Data for SPECIATE'!$M$1:$AZ$1='PM Protocol'!$A38)*'Data for SPECIATE'!$M$5:$AZ$26)/VLOOKUP(V$1,'Data for SPECIATE'!$C$5:$L$26,10,FALSE)</f>
        <v>0</v>
      </c>
      <c r="W38" s="188" cm="1">
        <f t="array" ref="W38">SUMPRODUCT(('Data for SPECIATE'!$C$5:$C$26='PM Protocol'!W$1)*('Data for SPECIATE'!$M$1:$AZ$1='PM Protocol'!$A38)*'Data for SPECIATE'!$M$5:$AZ$26)/VLOOKUP(W$1,'Data for SPECIATE'!$C$5:$L$26,10,FALSE)</f>
        <v>0</v>
      </c>
      <c r="X38" s="188" cm="1">
        <f t="array" ref="X38">SUMPRODUCT(('Data for SPECIATE'!$C$5:$C$26='PM Protocol'!X$1)*('Data for SPECIATE'!$M$1:$AZ$1='PM Protocol'!$A38)*'Data for SPECIATE'!$M$5:$AZ$26)/VLOOKUP(X$1,'Data for SPECIATE'!$C$5:$L$26,10,FALSE)</f>
        <v>0</v>
      </c>
      <c r="Y38" s="188" cm="1">
        <f t="array" ref="Y38">SUMPRODUCT(('Data for SPECIATE'!$C$5:$C$26='PM Protocol'!Y$1)*('Data for SPECIATE'!$M$1:$AZ$1='PM Protocol'!$A38)*'Data for SPECIATE'!$M$5:$AZ$26)/VLOOKUP(Y$1,'Data for SPECIATE'!$C$5:$L$26,10,FALSE)</f>
        <v>0</v>
      </c>
      <c r="Z38" s="188" cm="1">
        <f t="array" ref="Z38">SUMPRODUCT(('Data for SPECIATE'!$C$5:$C$26='PM Protocol'!Z$1)*('Data for SPECIATE'!$M$1:$AZ$1='PM Protocol'!$A38)*'Data for SPECIATE'!$M$5:$AZ$26)/VLOOKUP(Z$1,'Data for SPECIATE'!$C$5:$L$26,10,FALSE)</f>
        <v>0</v>
      </c>
    </row>
    <row r="39" spans="1:26">
      <c r="A39">
        <v>3250</v>
      </c>
      <c r="B39" t="s">
        <v>20</v>
      </c>
      <c r="C39" s="191">
        <f>IFERROR(VLOOKUP(A39,Oxides!$A$2:$G$39,7,FALSE),0)</f>
        <v>0</v>
      </c>
      <c r="D39" t="s">
        <v>697</v>
      </c>
      <c r="E39" s="188" cm="1">
        <f t="array" ref="E39">SUMPRODUCT(('Data for SPECIATE'!$C$5:$C$26='PM Protocol'!E$1)*('Data for SPECIATE'!$M$1:$AZ$1='PM Protocol'!$A39)*'Data for SPECIATE'!$M$5:$AZ$26)/VLOOKUP(E$1,'Data for SPECIATE'!$C$5:$L$26,10,FALSE)</f>
        <v>0</v>
      </c>
      <c r="F39" s="188" cm="1">
        <f t="array" ref="F39">SUMPRODUCT(('Data for SPECIATE'!$C$5:$C$26='PM Protocol'!F$1)*('Data for SPECIATE'!$M$1:$AZ$1='PM Protocol'!$A39)*'Data for SPECIATE'!$M$5:$AZ$26)/VLOOKUP(F$1,'Data for SPECIATE'!$C$5:$L$26,10,FALSE)</f>
        <v>0</v>
      </c>
      <c r="G39" s="188" cm="1">
        <f t="array" ref="G39">SUMPRODUCT(('Data for SPECIATE'!$C$5:$C$26='PM Protocol'!G$1)*('Data for SPECIATE'!$M$1:$AZ$1='PM Protocol'!$A39)*'Data for SPECIATE'!$M$5:$AZ$26)/VLOOKUP(G$1,'Data for SPECIATE'!$C$5:$L$26,10,FALSE)</f>
        <v>0</v>
      </c>
      <c r="H39" s="188" cm="1">
        <f t="array" ref="H39">SUMPRODUCT(('Data for SPECIATE'!$C$5:$C$26='PM Protocol'!H$1)*('Data for SPECIATE'!$M$1:$AZ$1='PM Protocol'!$A39)*'Data for SPECIATE'!$M$5:$AZ$26)/VLOOKUP(H$1,'Data for SPECIATE'!$C$5:$L$26,10,FALSE)</f>
        <v>0</v>
      </c>
      <c r="I39" s="188" cm="1">
        <f t="array" ref="I39">SUMPRODUCT(('Data for SPECIATE'!$C$5:$C$26='PM Protocol'!I$1)*('Data for SPECIATE'!$M$1:$AZ$1='PM Protocol'!$A39)*'Data for SPECIATE'!$M$5:$AZ$26)/VLOOKUP(I$1,'Data for SPECIATE'!$C$5:$L$26,10,FALSE)</f>
        <v>0</v>
      </c>
      <c r="J39" s="188" cm="1">
        <f t="array" ref="J39">SUMPRODUCT(('Data for SPECIATE'!$C$5:$C$26='PM Protocol'!J$1)*('Data for SPECIATE'!$M$1:$AZ$1='PM Protocol'!$A39)*'Data for SPECIATE'!$M$5:$AZ$26)/VLOOKUP(J$1,'Data for SPECIATE'!$C$5:$L$26,10,FALSE)</f>
        <v>0</v>
      </c>
      <c r="K39" s="188" cm="1">
        <f t="array" ref="K39">SUMPRODUCT(('Data for SPECIATE'!$C$5:$C$26='PM Protocol'!K$1)*('Data for SPECIATE'!$M$1:$AZ$1='PM Protocol'!$A39)*'Data for SPECIATE'!$M$5:$AZ$26)/VLOOKUP(K$1,'Data for SPECIATE'!$C$5:$L$26,10,FALSE)</f>
        <v>0</v>
      </c>
      <c r="L39" s="188" cm="1">
        <f t="array" ref="L39">SUMPRODUCT(('Data for SPECIATE'!$C$5:$C$26='PM Protocol'!L$1)*('Data for SPECIATE'!$M$1:$AZ$1='PM Protocol'!$A39)*'Data for SPECIATE'!$M$5:$AZ$26)/VLOOKUP(L$1,'Data for SPECIATE'!$C$5:$L$26,10,FALSE)</f>
        <v>0</v>
      </c>
      <c r="M39" s="188" cm="1">
        <f t="array" ref="M39">SUMPRODUCT(('Data for SPECIATE'!$C$5:$C$26='PM Protocol'!M$1)*('Data for SPECIATE'!$M$1:$AZ$1='PM Protocol'!$A39)*'Data for SPECIATE'!$M$5:$AZ$26)/VLOOKUP(M$1,'Data for SPECIATE'!$C$5:$L$26,10,FALSE)</f>
        <v>0</v>
      </c>
      <c r="N39" s="188" cm="1">
        <f t="array" ref="N39">SUMPRODUCT(('Data for SPECIATE'!$C$5:$C$26='PM Protocol'!N$1)*('Data for SPECIATE'!$M$1:$AZ$1='PM Protocol'!$A39)*'Data for SPECIATE'!$M$5:$AZ$26)/VLOOKUP(N$1,'Data for SPECIATE'!$C$5:$L$26,10,FALSE)</f>
        <v>0</v>
      </c>
      <c r="O39" s="188" cm="1">
        <f t="array" ref="O39">SUMPRODUCT(('Data for SPECIATE'!$C$5:$C$26='PM Protocol'!O$1)*('Data for SPECIATE'!$M$1:$AZ$1='PM Protocol'!$A39)*'Data for SPECIATE'!$M$5:$AZ$26)/VLOOKUP(O$1,'Data for SPECIATE'!$C$5:$L$26,10,FALSE)</f>
        <v>0</v>
      </c>
      <c r="P39" s="188" cm="1">
        <f t="array" ref="P39">SUMPRODUCT(('Data for SPECIATE'!$C$5:$C$26='PM Protocol'!P$1)*('Data for SPECIATE'!$M$1:$AZ$1='PM Protocol'!$A39)*'Data for SPECIATE'!$M$5:$AZ$26)/VLOOKUP(P$1,'Data for SPECIATE'!$C$5:$L$26,10,FALSE)</f>
        <v>0</v>
      </c>
      <c r="Q39" s="188" cm="1">
        <f t="array" ref="Q39">SUMPRODUCT(('Data for SPECIATE'!$C$5:$C$26='PM Protocol'!Q$1)*('Data for SPECIATE'!$M$1:$AZ$1='PM Protocol'!$A39)*'Data for SPECIATE'!$M$5:$AZ$26)/VLOOKUP(Q$1,'Data for SPECIATE'!$C$5:$L$26,10,FALSE)</f>
        <v>0</v>
      </c>
      <c r="R39" s="188" cm="1">
        <f t="array" ref="R39">SUMPRODUCT(('Data for SPECIATE'!$C$5:$C$26='PM Protocol'!R$1)*('Data for SPECIATE'!$M$1:$AZ$1='PM Protocol'!$A39)*'Data for SPECIATE'!$M$5:$AZ$26)/SUMPRODUCT(('Data for SPECIATE'!$C$5:$C$26='PM Protocol'!R$1)*'Data for SPECIATE'!$M$5:$AZ$26)</f>
        <v>0</v>
      </c>
      <c r="S39" s="188" cm="1">
        <f t="array" ref="S39">SUMPRODUCT(('Data for SPECIATE'!$C$5:$C$26='PM Protocol'!S$1)*('Data for SPECIATE'!$M$1:$AZ$1='PM Protocol'!$A39)*'Data for SPECIATE'!$M$5:$AZ$26)/VLOOKUP(S$1,'Data for SPECIATE'!$C$5:$L$26,10,FALSE)</f>
        <v>0</v>
      </c>
      <c r="T39" s="188" cm="1">
        <f t="array" ref="T39">SUMPRODUCT(('Data for SPECIATE'!$C$5:$C$26='PM Protocol'!T$1)*('Data for SPECIATE'!$M$1:$AZ$1='PM Protocol'!$A39)*'Data for SPECIATE'!$M$5:$AZ$26)/VLOOKUP(T$1,'Data for SPECIATE'!$C$5:$L$26,10,FALSE)</f>
        <v>0</v>
      </c>
      <c r="U39" s="188" cm="1">
        <f t="array" ref="U39">SUMPRODUCT(('Data for SPECIATE'!$C$5:$C$26='PM Protocol'!U$1)*('Data for SPECIATE'!$M$1:$AZ$1='PM Protocol'!$A39)*'Data for SPECIATE'!$M$5:$AZ$26)/VLOOKUP(U$1,'Data for SPECIATE'!$C$5:$L$26,10,FALSE)</f>
        <v>0</v>
      </c>
      <c r="V39" s="188" cm="1">
        <f t="array" ref="V39">SUMPRODUCT(('Data for SPECIATE'!$C$5:$C$26='PM Protocol'!V$1)*('Data for SPECIATE'!$M$1:$AZ$1='PM Protocol'!$A39)*'Data for SPECIATE'!$M$5:$AZ$26)/VLOOKUP(V$1,'Data for SPECIATE'!$C$5:$L$26,10,FALSE)</f>
        <v>0</v>
      </c>
      <c r="W39" s="188" cm="1">
        <f t="array" ref="W39">SUMPRODUCT(('Data for SPECIATE'!$C$5:$C$26='PM Protocol'!W$1)*('Data for SPECIATE'!$M$1:$AZ$1='PM Protocol'!$A39)*'Data for SPECIATE'!$M$5:$AZ$26)/VLOOKUP(W$1,'Data for SPECIATE'!$C$5:$L$26,10,FALSE)</f>
        <v>0</v>
      </c>
      <c r="X39" s="188" cm="1">
        <f t="array" ref="X39">SUMPRODUCT(('Data for SPECIATE'!$C$5:$C$26='PM Protocol'!X$1)*('Data for SPECIATE'!$M$1:$AZ$1='PM Protocol'!$A39)*'Data for SPECIATE'!$M$5:$AZ$26)/VLOOKUP(X$1,'Data for SPECIATE'!$C$5:$L$26,10,FALSE)</f>
        <v>0</v>
      </c>
      <c r="Y39" s="188" cm="1">
        <f t="array" ref="Y39">SUMPRODUCT(('Data for SPECIATE'!$C$5:$C$26='PM Protocol'!Y$1)*('Data for SPECIATE'!$M$1:$AZ$1='PM Protocol'!$A39)*'Data for SPECIATE'!$M$5:$AZ$26)/VLOOKUP(Y$1,'Data for SPECIATE'!$C$5:$L$26,10,FALSE)</f>
        <v>0</v>
      </c>
      <c r="Z39" s="188" cm="1">
        <f t="array" ref="Z39">SUMPRODUCT(('Data for SPECIATE'!$C$5:$C$26='PM Protocol'!Z$1)*('Data for SPECIATE'!$M$1:$AZ$1='PM Protocol'!$A39)*'Data for SPECIATE'!$M$5:$AZ$26)/VLOOKUP(Z$1,'Data for SPECIATE'!$C$5:$L$26,10,FALSE)</f>
        <v>0</v>
      </c>
    </row>
    <row r="40" spans="1:26">
      <c r="A40">
        <v>3251</v>
      </c>
      <c r="B40" t="s">
        <v>20</v>
      </c>
      <c r="C40" s="191">
        <f>IFERROR(VLOOKUP(A40,Oxides!$A$2:$G$39,7,FALSE),0)</f>
        <v>0</v>
      </c>
      <c r="D40" t="s">
        <v>698</v>
      </c>
      <c r="E40" s="188" cm="1">
        <f t="array" ref="E40">SUMPRODUCT(('Data for SPECIATE'!$C$5:$C$26='PM Protocol'!E$1)*('Data for SPECIATE'!$M$1:$AZ$1='PM Protocol'!$A40)*'Data for SPECIATE'!$M$5:$AZ$26)/VLOOKUP(E$1,'Data for SPECIATE'!$C$5:$L$26,10,FALSE)</f>
        <v>0</v>
      </c>
      <c r="F40" s="188" cm="1">
        <f t="array" ref="F40">SUMPRODUCT(('Data for SPECIATE'!$C$5:$C$26='PM Protocol'!F$1)*('Data for SPECIATE'!$M$1:$AZ$1='PM Protocol'!$A40)*'Data for SPECIATE'!$M$5:$AZ$26)/VLOOKUP(F$1,'Data for SPECIATE'!$C$5:$L$26,10,FALSE)</f>
        <v>0</v>
      </c>
      <c r="G40" s="188" cm="1">
        <f t="array" ref="G40">SUMPRODUCT(('Data for SPECIATE'!$C$5:$C$26='PM Protocol'!G$1)*('Data for SPECIATE'!$M$1:$AZ$1='PM Protocol'!$A40)*'Data for SPECIATE'!$M$5:$AZ$26)/VLOOKUP(G$1,'Data for SPECIATE'!$C$5:$L$26,10,FALSE)</f>
        <v>0</v>
      </c>
      <c r="H40" s="188" cm="1">
        <f t="array" ref="H40">SUMPRODUCT(('Data for SPECIATE'!$C$5:$C$26='PM Protocol'!H$1)*('Data for SPECIATE'!$M$1:$AZ$1='PM Protocol'!$A40)*'Data for SPECIATE'!$M$5:$AZ$26)/VLOOKUP(H$1,'Data for SPECIATE'!$C$5:$L$26,10,FALSE)</f>
        <v>0</v>
      </c>
      <c r="I40" s="188" cm="1">
        <f t="array" ref="I40">SUMPRODUCT(('Data for SPECIATE'!$C$5:$C$26='PM Protocol'!I$1)*('Data for SPECIATE'!$M$1:$AZ$1='PM Protocol'!$A40)*'Data for SPECIATE'!$M$5:$AZ$26)/VLOOKUP(I$1,'Data for SPECIATE'!$C$5:$L$26,10,FALSE)</f>
        <v>0</v>
      </c>
      <c r="J40" s="188" cm="1">
        <f t="array" ref="J40">SUMPRODUCT(('Data for SPECIATE'!$C$5:$C$26='PM Protocol'!J$1)*('Data for SPECIATE'!$M$1:$AZ$1='PM Protocol'!$A40)*'Data for SPECIATE'!$M$5:$AZ$26)/VLOOKUP(J$1,'Data for SPECIATE'!$C$5:$L$26,10,FALSE)</f>
        <v>0</v>
      </c>
      <c r="K40" s="188" cm="1">
        <f t="array" ref="K40">SUMPRODUCT(('Data for SPECIATE'!$C$5:$C$26='PM Protocol'!K$1)*('Data for SPECIATE'!$M$1:$AZ$1='PM Protocol'!$A40)*'Data for SPECIATE'!$M$5:$AZ$26)/VLOOKUP(K$1,'Data for SPECIATE'!$C$5:$L$26,10,FALSE)</f>
        <v>0</v>
      </c>
      <c r="L40" s="188" cm="1">
        <f t="array" ref="L40">SUMPRODUCT(('Data for SPECIATE'!$C$5:$C$26='PM Protocol'!L$1)*('Data for SPECIATE'!$M$1:$AZ$1='PM Protocol'!$A40)*'Data for SPECIATE'!$M$5:$AZ$26)/VLOOKUP(L$1,'Data for SPECIATE'!$C$5:$L$26,10,FALSE)</f>
        <v>0</v>
      </c>
      <c r="M40" s="188" cm="1">
        <f t="array" ref="M40">SUMPRODUCT(('Data for SPECIATE'!$C$5:$C$26='PM Protocol'!M$1)*('Data for SPECIATE'!$M$1:$AZ$1='PM Protocol'!$A40)*'Data for SPECIATE'!$M$5:$AZ$26)/VLOOKUP(M$1,'Data for SPECIATE'!$C$5:$L$26,10,FALSE)</f>
        <v>0</v>
      </c>
      <c r="N40" s="188" cm="1">
        <f t="array" ref="N40">SUMPRODUCT(('Data for SPECIATE'!$C$5:$C$26='PM Protocol'!N$1)*('Data for SPECIATE'!$M$1:$AZ$1='PM Protocol'!$A40)*'Data for SPECIATE'!$M$5:$AZ$26)/VLOOKUP(N$1,'Data for SPECIATE'!$C$5:$L$26,10,FALSE)</f>
        <v>0</v>
      </c>
      <c r="O40" s="188" cm="1">
        <f t="array" ref="O40">SUMPRODUCT(('Data for SPECIATE'!$C$5:$C$26='PM Protocol'!O$1)*('Data for SPECIATE'!$M$1:$AZ$1='PM Protocol'!$A40)*'Data for SPECIATE'!$M$5:$AZ$26)/VLOOKUP(O$1,'Data for SPECIATE'!$C$5:$L$26,10,FALSE)</f>
        <v>0</v>
      </c>
      <c r="P40" s="188" cm="1">
        <f t="array" ref="P40">SUMPRODUCT(('Data for SPECIATE'!$C$5:$C$26='PM Protocol'!P$1)*('Data for SPECIATE'!$M$1:$AZ$1='PM Protocol'!$A40)*'Data for SPECIATE'!$M$5:$AZ$26)/VLOOKUP(P$1,'Data for SPECIATE'!$C$5:$L$26,10,FALSE)</f>
        <v>0</v>
      </c>
      <c r="Q40" s="188" cm="1">
        <f t="array" ref="Q40">SUMPRODUCT(('Data for SPECIATE'!$C$5:$C$26='PM Protocol'!Q$1)*('Data for SPECIATE'!$M$1:$AZ$1='PM Protocol'!$A40)*'Data for SPECIATE'!$M$5:$AZ$26)/VLOOKUP(Q$1,'Data for SPECIATE'!$C$5:$L$26,10,FALSE)</f>
        <v>0</v>
      </c>
      <c r="R40" s="188" cm="1">
        <f t="array" ref="R40">SUMPRODUCT(('Data for SPECIATE'!$C$5:$C$26='PM Protocol'!R$1)*('Data for SPECIATE'!$M$1:$AZ$1='PM Protocol'!$A40)*'Data for SPECIATE'!$M$5:$AZ$26)/SUMPRODUCT(('Data for SPECIATE'!$C$5:$C$26='PM Protocol'!R$1)*'Data for SPECIATE'!$M$5:$AZ$26)</f>
        <v>0</v>
      </c>
      <c r="S40" s="188" cm="1">
        <f t="array" ref="S40">SUMPRODUCT(('Data for SPECIATE'!$C$5:$C$26='PM Protocol'!S$1)*('Data for SPECIATE'!$M$1:$AZ$1='PM Protocol'!$A40)*'Data for SPECIATE'!$M$5:$AZ$26)/VLOOKUP(S$1,'Data for SPECIATE'!$C$5:$L$26,10,FALSE)</f>
        <v>0</v>
      </c>
      <c r="T40" s="188" cm="1">
        <f t="array" ref="T40">SUMPRODUCT(('Data for SPECIATE'!$C$5:$C$26='PM Protocol'!T$1)*('Data for SPECIATE'!$M$1:$AZ$1='PM Protocol'!$A40)*'Data for SPECIATE'!$M$5:$AZ$26)/VLOOKUP(T$1,'Data for SPECIATE'!$C$5:$L$26,10,FALSE)</f>
        <v>0</v>
      </c>
      <c r="U40" s="188" cm="1">
        <f t="array" ref="U40">SUMPRODUCT(('Data for SPECIATE'!$C$5:$C$26='PM Protocol'!U$1)*('Data for SPECIATE'!$M$1:$AZ$1='PM Protocol'!$A40)*'Data for SPECIATE'!$M$5:$AZ$26)/VLOOKUP(U$1,'Data for SPECIATE'!$C$5:$L$26,10,FALSE)</f>
        <v>0</v>
      </c>
      <c r="V40" s="188" cm="1">
        <f t="array" ref="V40">SUMPRODUCT(('Data for SPECIATE'!$C$5:$C$26='PM Protocol'!V$1)*('Data for SPECIATE'!$M$1:$AZ$1='PM Protocol'!$A40)*'Data for SPECIATE'!$M$5:$AZ$26)/VLOOKUP(V$1,'Data for SPECIATE'!$C$5:$L$26,10,FALSE)</f>
        <v>0</v>
      </c>
      <c r="W40" s="188" cm="1">
        <f t="array" ref="W40">SUMPRODUCT(('Data for SPECIATE'!$C$5:$C$26='PM Protocol'!W$1)*('Data for SPECIATE'!$M$1:$AZ$1='PM Protocol'!$A40)*'Data for SPECIATE'!$M$5:$AZ$26)/VLOOKUP(W$1,'Data for SPECIATE'!$C$5:$L$26,10,FALSE)</f>
        <v>0</v>
      </c>
      <c r="X40" s="188" cm="1">
        <f t="array" ref="X40">SUMPRODUCT(('Data for SPECIATE'!$C$5:$C$26='PM Protocol'!X$1)*('Data for SPECIATE'!$M$1:$AZ$1='PM Protocol'!$A40)*'Data for SPECIATE'!$M$5:$AZ$26)/VLOOKUP(X$1,'Data for SPECIATE'!$C$5:$L$26,10,FALSE)</f>
        <v>0</v>
      </c>
      <c r="Y40" s="188" cm="1">
        <f t="array" ref="Y40">SUMPRODUCT(('Data for SPECIATE'!$C$5:$C$26='PM Protocol'!Y$1)*('Data for SPECIATE'!$M$1:$AZ$1='PM Protocol'!$A40)*'Data for SPECIATE'!$M$5:$AZ$26)/VLOOKUP(Y$1,'Data for SPECIATE'!$C$5:$L$26,10,FALSE)</f>
        <v>0</v>
      </c>
      <c r="Z40" s="188" cm="1">
        <f t="array" ref="Z40">SUMPRODUCT(('Data for SPECIATE'!$C$5:$C$26='PM Protocol'!Z$1)*('Data for SPECIATE'!$M$1:$AZ$1='PM Protocol'!$A40)*'Data for SPECIATE'!$M$5:$AZ$26)/VLOOKUP(Z$1,'Data for SPECIATE'!$C$5:$L$26,10,FALSE)</f>
        <v>0</v>
      </c>
    </row>
    <row r="41" spans="1:26">
      <c r="A41">
        <v>3252</v>
      </c>
      <c r="B41" t="s">
        <v>20</v>
      </c>
      <c r="C41" s="191">
        <f>IFERROR(VLOOKUP(A41,Oxides!$A$2:$G$39,7,FALSE),0)</f>
        <v>0</v>
      </c>
      <c r="D41" t="s">
        <v>699</v>
      </c>
      <c r="E41" s="188" cm="1">
        <f t="array" ref="E41">SUMPRODUCT(('Data for SPECIATE'!$C$5:$C$26='PM Protocol'!E$1)*('Data for SPECIATE'!$M$1:$AZ$1='PM Protocol'!$A41)*'Data for SPECIATE'!$M$5:$AZ$26)/VLOOKUP(E$1,'Data for SPECIATE'!$C$5:$L$26,10,FALSE)</f>
        <v>0</v>
      </c>
      <c r="F41" s="188" cm="1">
        <f t="array" ref="F41">SUMPRODUCT(('Data for SPECIATE'!$C$5:$C$26='PM Protocol'!F$1)*('Data for SPECIATE'!$M$1:$AZ$1='PM Protocol'!$A41)*'Data for SPECIATE'!$M$5:$AZ$26)/VLOOKUP(F$1,'Data for SPECIATE'!$C$5:$L$26,10,FALSE)</f>
        <v>0</v>
      </c>
      <c r="G41" s="188" cm="1">
        <f t="array" ref="G41">SUMPRODUCT(('Data for SPECIATE'!$C$5:$C$26='PM Protocol'!G$1)*('Data for SPECIATE'!$M$1:$AZ$1='PM Protocol'!$A41)*'Data for SPECIATE'!$M$5:$AZ$26)/VLOOKUP(G$1,'Data for SPECIATE'!$C$5:$L$26,10,FALSE)</f>
        <v>0</v>
      </c>
      <c r="H41" s="188" cm="1">
        <f t="array" ref="H41">SUMPRODUCT(('Data for SPECIATE'!$C$5:$C$26='PM Protocol'!H$1)*('Data for SPECIATE'!$M$1:$AZ$1='PM Protocol'!$A41)*'Data for SPECIATE'!$M$5:$AZ$26)/VLOOKUP(H$1,'Data for SPECIATE'!$C$5:$L$26,10,FALSE)</f>
        <v>0</v>
      </c>
      <c r="I41" s="188" cm="1">
        <f t="array" ref="I41">SUMPRODUCT(('Data for SPECIATE'!$C$5:$C$26='PM Protocol'!I$1)*('Data for SPECIATE'!$M$1:$AZ$1='PM Protocol'!$A41)*'Data for SPECIATE'!$M$5:$AZ$26)/VLOOKUP(I$1,'Data for SPECIATE'!$C$5:$L$26,10,FALSE)</f>
        <v>0</v>
      </c>
      <c r="J41" s="188" cm="1">
        <f t="array" ref="J41">SUMPRODUCT(('Data for SPECIATE'!$C$5:$C$26='PM Protocol'!J$1)*('Data for SPECIATE'!$M$1:$AZ$1='PM Protocol'!$A41)*'Data for SPECIATE'!$M$5:$AZ$26)/VLOOKUP(J$1,'Data for SPECIATE'!$C$5:$L$26,10,FALSE)</f>
        <v>0</v>
      </c>
      <c r="K41" s="188" cm="1">
        <f t="array" ref="K41">SUMPRODUCT(('Data for SPECIATE'!$C$5:$C$26='PM Protocol'!K$1)*('Data for SPECIATE'!$M$1:$AZ$1='PM Protocol'!$A41)*'Data for SPECIATE'!$M$5:$AZ$26)/VLOOKUP(K$1,'Data for SPECIATE'!$C$5:$L$26,10,FALSE)</f>
        <v>0</v>
      </c>
      <c r="L41" s="188" cm="1">
        <f t="array" ref="L41">SUMPRODUCT(('Data for SPECIATE'!$C$5:$C$26='PM Protocol'!L$1)*('Data for SPECIATE'!$M$1:$AZ$1='PM Protocol'!$A41)*'Data for SPECIATE'!$M$5:$AZ$26)/VLOOKUP(L$1,'Data for SPECIATE'!$C$5:$L$26,10,FALSE)</f>
        <v>0</v>
      </c>
      <c r="M41" s="188" cm="1">
        <f t="array" ref="M41">SUMPRODUCT(('Data for SPECIATE'!$C$5:$C$26='PM Protocol'!M$1)*('Data for SPECIATE'!$M$1:$AZ$1='PM Protocol'!$A41)*'Data for SPECIATE'!$M$5:$AZ$26)/VLOOKUP(M$1,'Data for SPECIATE'!$C$5:$L$26,10,FALSE)</f>
        <v>0</v>
      </c>
      <c r="N41" s="188" cm="1">
        <f t="array" ref="N41">SUMPRODUCT(('Data for SPECIATE'!$C$5:$C$26='PM Protocol'!N$1)*('Data for SPECIATE'!$M$1:$AZ$1='PM Protocol'!$A41)*'Data for SPECIATE'!$M$5:$AZ$26)/VLOOKUP(N$1,'Data for SPECIATE'!$C$5:$L$26,10,FALSE)</f>
        <v>0</v>
      </c>
      <c r="O41" s="188" cm="1">
        <f t="array" ref="O41">SUMPRODUCT(('Data for SPECIATE'!$C$5:$C$26='PM Protocol'!O$1)*('Data for SPECIATE'!$M$1:$AZ$1='PM Protocol'!$A41)*'Data for SPECIATE'!$M$5:$AZ$26)/VLOOKUP(O$1,'Data for SPECIATE'!$C$5:$L$26,10,FALSE)</f>
        <v>0</v>
      </c>
      <c r="P41" s="188" cm="1">
        <f t="array" ref="P41">SUMPRODUCT(('Data for SPECIATE'!$C$5:$C$26='PM Protocol'!P$1)*('Data for SPECIATE'!$M$1:$AZ$1='PM Protocol'!$A41)*'Data for SPECIATE'!$M$5:$AZ$26)/VLOOKUP(P$1,'Data for SPECIATE'!$C$5:$L$26,10,FALSE)</f>
        <v>0</v>
      </c>
      <c r="Q41" s="188" cm="1">
        <f t="array" ref="Q41">SUMPRODUCT(('Data for SPECIATE'!$C$5:$C$26='PM Protocol'!Q$1)*('Data for SPECIATE'!$M$1:$AZ$1='PM Protocol'!$A41)*'Data for SPECIATE'!$M$5:$AZ$26)/VLOOKUP(Q$1,'Data for SPECIATE'!$C$5:$L$26,10,FALSE)</f>
        <v>0</v>
      </c>
      <c r="R41" s="188" cm="1">
        <f t="array" ref="R41">SUMPRODUCT(('Data for SPECIATE'!$C$5:$C$26='PM Protocol'!R$1)*('Data for SPECIATE'!$M$1:$AZ$1='PM Protocol'!$A41)*'Data for SPECIATE'!$M$5:$AZ$26)/SUMPRODUCT(('Data for SPECIATE'!$C$5:$C$26='PM Protocol'!R$1)*'Data for SPECIATE'!$M$5:$AZ$26)</f>
        <v>0</v>
      </c>
      <c r="S41" s="188" cm="1">
        <f t="array" ref="S41">SUMPRODUCT(('Data for SPECIATE'!$C$5:$C$26='PM Protocol'!S$1)*('Data for SPECIATE'!$M$1:$AZ$1='PM Protocol'!$A41)*'Data for SPECIATE'!$M$5:$AZ$26)/VLOOKUP(S$1,'Data for SPECIATE'!$C$5:$L$26,10,FALSE)</f>
        <v>0</v>
      </c>
      <c r="T41" s="188" cm="1">
        <f t="array" ref="T41">SUMPRODUCT(('Data for SPECIATE'!$C$5:$C$26='PM Protocol'!T$1)*('Data for SPECIATE'!$M$1:$AZ$1='PM Protocol'!$A41)*'Data for SPECIATE'!$M$5:$AZ$26)/VLOOKUP(T$1,'Data for SPECIATE'!$C$5:$L$26,10,FALSE)</f>
        <v>0</v>
      </c>
      <c r="U41" s="188" cm="1">
        <f t="array" ref="U41">SUMPRODUCT(('Data for SPECIATE'!$C$5:$C$26='PM Protocol'!U$1)*('Data for SPECIATE'!$M$1:$AZ$1='PM Protocol'!$A41)*'Data for SPECIATE'!$M$5:$AZ$26)/VLOOKUP(U$1,'Data for SPECIATE'!$C$5:$L$26,10,FALSE)</f>
        <v>0</v>
      </c>
      <c r="V41" s="188" cm="1">
        <f t="array" ref="V41">SUMPRODUCT(('Data for SPECIATE'!$C$5:$C$26='PM Protocol'!V$1)*('Data for SPECIATE'!$M$1:$AZ$1='PM Protocol'!$A41)*'Data for SPECIATE'!$M$5:$AZ$26)/VLOOKUP(V$1,'Data for SPECIATE'!$C$5:$L$26,10,FALSE)</f>
        <v>0</v>
      </c>
      <c r="W41" s="188" cm="1">
        <f t="array" ref="W41">SUMPRODUCT(('Data for SPECIATE'!$C$5:$C$26='PM Protocol'!W$1)*('Data for SPECIATE'!$M$1:$AZ$1='PM Protocol'!$A41)*'Data for SPECIATE'!$M$5:$AZ$26)/VLOOKUP(W$1,'Data for SPECIATE'!$C$5:$L$26,10,FALSE)</f>
        <v>0</v>
      </c>
      <c r="X41" s="188" cm="1">
        <f t="array" ref="X41">SUMPRODUCT(('Data for SPECIATE'!$C$5:$C$26='PM Protocol'!X$1)*('Data for SPECIATE'!$M$1:$AZ$1='PM Protocol'!$A41)*'Data for SPECIATE'!$M$5:$AZ$26)/VLOOKUP(X$1,'Data for SPECIATE'!$C$5:$L$26,10,FALSE)</f>
        <v>0</v>
      </c>
      <c r="Y41" s="188" cm="1">
        <f t="array" ref="Y41">SUMPRODUCT(('Data for SPECIATE'!$C$5:$C$26='PM Protocol'!Y$1)*('Data for SPECIATE'!$M$1:$AZ$1='PM Protocol'!$A41)*'Data for SPECIATE'!$M$5:$AZ$26)/VLOOKUP(Y$1,'Data for SPECIATE'!$C$5:$L$26,10,FALSE)</f>
        <v>0</v>
      </c>
      <c r="Z41" s="188" cm="1">
        <f t="array" ref="Z41">SUMPRODUCT(('Data for SPECIATE'!$C$5:$C$26='PM Protocol'!Z$1)*('Data for SPECIATE'!$M$1:$AZ$1='PM Protocol'!$A41)*'Data for SPECIATE'!$M$5:$AZ$26)/VLOOKUP(Z$1,'Data for SPECIATE'!$C$5:$L$26,10,FALSE)</f>
        <v>0</v>
      </c>
    </row>
    <row r="42" spans="1:26">
      <c r="A42">
        <v>3253</v>
      </c>
      <c r="B42" t="s">
        <v>20</v>
      </c>
      <c r="C42" s="191">
        <f>IFERROR(VLOOKUP(A42,Oxides!$A$2:$G$39,7,FALSE),0)</f>
        <v>0</v>
      </c>
      <c r="D42" t="s">
        <v>700</v>
      </c>
      <c r="E42" s="188" cm="1">
        <f t="array" ref="E42">SUMPRODUCT(('Data for SPECIATE'!$C$5:$C$26='PM Protocol'!E$1)*('Data for SPECIATE'!$M$1:$AZ$1='PM Protocol'!$A42)*'Data for SPECIATE'!$M$5:$AZ$26)/VLOOKUP(E$1,'Data for SPECIATE'!$C$5:$L$26,10,FALSE)</f>
        <v>0</v>
      </c>
      <c r="F42" s="188" cm="1">
        <f t="array" ref="F42">SUMPRODUCT(('Data for SPECIATE'!$C$5:$C$26='PM Protocol'!F$1)*('Data for SPECIATE'!$M$1:$AZ$1='PM Protocol'!$A42)*'Data for SPECIATE'!$M$5:$AZ$26)/VLOOKUP(F$1,'Data for SPECIATE'!$C$5:$L$26,10,FALSE)</f>
        <v>0</v>
      </c>
      <c r="G42" s="188" cm="1">
        <f t="array" ref="G42">SUMPRODUCT(('Data for SPECIATE'!$C$5:$C$26='PM Protocol'!G$1)*('Data for SPECIATE'!$M$1:$AZ$1='PM Protocol'!$A42)*'Data for SPECIATE'!$M$5:$AZ$26)/VLOOKUP(G$1,'Data for SPECIATE'!$C$5:$L$26,10,FALSE)</f>
        <v>0</v>
      </c>
      <c r="H42" s="188" cm="1">
        <f t="array" ref="H42">SUMPRODUCT(('Data for SPECIATE'!$C$5:$C$26='PM Protocol'!H$1)*('Data for SPECIATE'!$M$1:$AZ$1='PM Protocol'!$A42)*'Data for SPECIATE'!$M$5:$AZ$26)/VLOOKUP(H$1,'Data for SPECIATE'!$C$5:$L$26,10,FALSE)</f>
        <v>0</v>
      </c>
      <c r="I42" s="188" cm="1">
        <f t="array" ref="I42">SUMPRODUCT(('Data for SPECIATE'!$C$5:$C$26='PM Protocol'!I$1)*('Data for SPECIATE'!$M$1:$AZ$1='PM Protocol'!$A42)*'Data for SPECIATE'!$M$5:$AZ$26)/VLOOKUP(I$1,'Data for SPECIATE'!$C$5:$L$26,10,FALSE)</f>
        <v>0</v>
      </c>
      <c r="J42" s="188" cm="1">
        <f t="array" ref="J42">SUMPRODUCT(('Data for SPECIATE'!$C$5:$C$26='PM Protocol'!J$1)*('Data for SPECIATE'!$M$1:$AZ$1='PM Protocol'!$A42)*'Data for SPECIATE'!$M$5:$AZ$26)/VLOOKUP(J$1,'Data for SPECIATE'!$C$5:$L$26,10,FALSE)</f>
        <v>0</v>
      </c>
      <c r="K42" s="188" cm="1">
        <f t="array" ref="K42">SUMPRODUCT(('Data for SPECIATE'!$C$5:$C$26='PM Protocol'!K$1)*('Data for SPECIATE'!$M$1:$AZ$1='PM Protocol'!$A42)*'Data for SPECIATE'!$M$5:$AZ$26)/VLOOKUP(K$1,'Data for SPECIATE'!$C$5:$L$26,10,FALSE)</f>
        <v>0</v>
      </c>
      <c r="L42" s="188" cm="1">
        <f t="array" ref="L42">SUMPRODUCT(('Data for SPECIATE'!$C$5:$C$26='PM Protocol'!L$1)*('Data for SPECIATE'!$M$1:$AZ$1='PM Protocol'!$A42)*'Data for SPECIATE'!$M$5:$AZ$26)/VLOOKUP(L$1,'Data for SPECIATE'!$C$5:$L$26,10,FALSE)</f>
        <v>0</v>
      </c>
      <c r="M42" s="188" cm="1">
        <f t="array" ref="M42">SUMPRODUCT(('Data for SPECIATE'!$C$5:$C$26='PM Protocol'!M$1)*('Data for SPECIATE'!$M$1:$AZ$1='PM Protocol'!$A42)*'Data for SPECIATE'!$M$5:$AZ$26)/VLOOKUP(M$1,'Data for SPECIATE'!$C$5:$L$26,10,FALSE)</f>
        <v>0</v>
      </c>
      <c r="N42" s="188" cm="1">
        <f t="array" ref="N42">SUMPRODUCT(('Data for SPECIATE'!$C$5:$C$26='PM Protocol'!N$1)*('Data for SPECIATE'!$M$1:$AZ$1='PM Protocol'!$A42)*'Data for SPECIATE'!$M$5:$AZ$26)/VLOOKUP(N$1,'Data for SPECIATE'!$C$5:$L$26,10,FALSE)</f>
        <v>0</v>
      </c>
      <c r="O42" s="188" cm="1">
        <f t="array" ref="O42">SUMPRODUCT(('Data for SPECIATE'!$C$5:$C$26='PM Protocol'!O$1)*('Data for SPECIATE'!$M$1:$AZ$1='PM Protocol'!$A42)*'Data for SPECIATE'!$M$5:$AZ$26)/VLOOKUP(O$1,'Data for SPECIATE'!$C$5:$L$26,10,FALSE)</f>
        <v>0</v>
      </c>
      <c r="P42" s="188" cm="1">
        <f t="array" ref="P42">SUMPRODUCT(('Data for SPECIATE'!$C$5:$C$26='PM Protocol'!P$1)*('Data for SPECIATE'!$M$1:$AZ$1='PM Protocol'!$A42)*'Data for SPECIATE'!$M$5:$AZ$26)/VLOOKUP(P$1,'Data for SPECIATE'!$C$5:$L$26,10,FALSE)</f>
        <v>0</v>
      </c>
      <c r="Q42" s="188" cm="1">
        <f t="array" ref="Q42">SUMPRODUCT(('Data for SPECIATE'!$C$5:$C$26='PM Protocol'!Q$1)*('Data for SPECIATE'!$M$1:$AZ$1='PM Protocol'!$A42)*'Data for SPECIATE'!$M$5:$AZ$26)/VLOOKUP(Q$1,'Data for SPECIATE'!$C$5:$L$26,10,FALSE)</f>
        <v>0</v>
      </c>
      <c r="R42" s="188" cm="1">
        <f t="array" ref="R42">SUMPRODUCT(('Data for SPECIATE'!$C$5:$C$26='PM Protocol'!R$1)*('Data for SPECIATE'!$M$1:$AZ$1='PM Protocol'!$A42)*'Data for SPECIATE'!$M$5:$AZ$26)/SUMPRODUCT(('Data for SPECIATE'!$C$5:$C$26='PM Protocol'!R$1)*'Data for SPECIATE'!$M$5:$AZ$26)</f>
        <v>0</v>
      </c>
      <c r="S42" s="188" cm="1">
        <f t="array" ref="S42">SUMPRODUCT(('Data for SPECIATE'!$C$5:$C$26='PM Protocol'!S$1)*('Data for SPECIATE'!$M$1:$AZ$1='PM Protocol'!$A42)*'Data for SPECIATE'!$M$5:$AZ$26)/VLOOKUP(S$1,'Data for SPECIATE'!$C$5:$L$26,10,FALSE)</f>
        <v>0</v>
      </c>
      <c r="T42" s="188" cm="1">
        <f t="array" ref="T42">SUMPRODUCT(('Data for SPECIATE'!$C$5:$C$26='PM Protocol'!T$1)*('Data for SPECIATE'!$M$1:$AZ$1='PM Protocol'!$A42)*'Data for SPECIATE'!$M$5:$AZ$26)/VLOOKUP(T$1,'Data for SPECIATE'!$C$5:$L$26,10,FALSE)</f>
        <v>0</v>
      </c>
      <c r="U42" s="188" cm="1">
        <f t="array" ref="U42">SUMPRODUCT(('Data for SPECIATE'!$C$5:$C$26='PM Protocol'!U$1)*('Data for SPECIATE'!$M$1:$AZ$1='PM Protocol'!$A42)*'Data for SPECIATE'!$M$5:$AZ$26)/VLOOKUP(U$1,'Data for SPECIATE'!$C$5:$L$26,10,FALSE)</f>
        <v>0</v>
      </c>
      <c r="V42" s="188" cm="1">
        <f t="array" ref="V42">SUMPRODUCT(('Data for SPECIATE'!$C$5:$C$26='PM Protocol'!V$1)*('Data for SPECIATE'!$M$1:$AZ$1='PM Protocol'!$A42)*'Data for SPECIATE'!$M$5:$AZ$26)/VLOOKUP(V$1,'Data for SPECIATE'!$C$5:$L$26,10,FALSE)</f>
        <v>0</v>
      </c>
      <c r="W42" s="188" cm="1">
        <f t="array" ref="W42">SUMPRODUCT(('Data for SPECIATE'!$C$5:$C$26='PM Protocol'!W$1)*('Data for SPECIATE'!$M$1:$AZ$1='PM Protocol'!$A42)*'Data for SPECIATE'!$M$5:$AZ$26)/VLOOKUP(W$1,'Data for SPECIATE'!$C$5:$L$26,10,FALSE)</f>
        <v>0</v>
      </c>
      <c r="X42" s="188" cm="1">
        <f t="array" ref="X42">SUMPRODUCT(('Data for SPECIATE'!$C$5:$C$26='PM Protocol'!X$1)*('Data for SPECIATE'!$M$1:$AZ$1='PM Protocol'!$A42)*'Data for SPECIATE'!$M$5:$AZ$26)/VLOOKUP(X$1,'Data for SPECIATE'!$C$5:$L$26,10,FALSE)</f>
        <v>0</v>
      </c>
      <c r="Y42" s="188" cm="1">
        <f t="array" ref="Y42">SUMPRODUCT(('Data for SPECIATE'!$C$5:$C$26='PM Protocol'!Y$1)*('Data for SPECIATE'!$M$1:$AZ$1='PM Protocol'!$A42)*'Data for SPECIATE'!$M$5:$AZ$26)/VLOOKUP(Y$1,'Data for SPECIATE'!$C$5:$L$26,10,FALSE)</f>
        <v>0</v>
      </c>
      <c r="Z42" s="188" cm="1">
        <f t="array" ref="Z42">SUMPRODUCT(('Data for SPECIATE'!$C$5:$C$26='PM Protocol'!Z$1)*('Data for SPECIATE'!$M$1:$AZ$1='PM Protocol'!$A42)*'Data for SPECIATE'!$M$5:$AZ$26)/VLOOKUP(Z$1,'Data for SPECIATE'!$C$5:$L$26,10,FALSE)</f>
        <v>0</v>
      </c>
    </row>
    <row r="43" spans="1:26">
      <c r="A43">
        <v>3254</v>
      </c>
      <c r="B43" t="s">
        <v>20</v>
      </c>
      <c r="C43" s="191">
        <f>IFERROR(VLOOKUP(A43,Oxides!$A$2:$G$39,7,FALSE),0)</f>
        <v>0</v>
      </c>
      <c r="D43" t="s">
        <v>701</v>
      </c>
      <c r="E43" s="188" cm="1">
        <f t="array" ref="E43">SUMPRODUCT(('Data for SPECIATE'!$C$5:$C$26='PM Protocol'!E$1)*('Data for SPECIATE'!$M$1:$AZ$1='PM Protocol'!$A43)*'Data for SPECIATE'!$M$5:$AZ$26)/VLOOKUP(E$1,'Data for SPECIATE'!$C$5:$L$26,10,FALSE)</f>
        <v>0</v>
      </c>
      <c r="F43" s="188" cm="1">
        <f t="array" ref="F43">SUMPRODUCT(('Data for SPECIATE'!$C$5:$C$26='PM Protocol'!F$1)*('Data for SPECIATE'!$M$1:$AZ$1='PM Protocol'!$A43)*'Data for SPECIATE'!$M$5:$AZ$26)/VLOOKUP(F$1,'Data for SPECIATE'!$C$5:$L$26,10,FALSE)</f>
        <v>0</v>
      </c>
      <c r="G43" s="188" cm="1">
        <f t="array" ref="G43">SUMPRODUCT(('Data for SPECIATE'!$C$5:$C$26='PM Protocol'!G$1)*('Data for SPECIATE'!$M$1:$AZ$1='PM Protocol'!$A43)*'Data for SPECIATE'!$M$5:$AZ$26)/VLOOKUP(G$1,'Data for SPECIATE'!$C$5:$L$26,10,FALSE)</f>
        <v>0</v>
      </c>
      <c r="H43" s="188" cm="1">
        <f t="array" ref="H43">SUMPRODUCT(('Data for SPECIATE'!$C$5:$C$26='PM Protocol'!H$1)*('Data for SPECIATE'!$M$1:$AZ$1='PM Protocol'!$A43)*'Data for SPECIATE'!$M$5:$AZ$26)/VLOOKUP(H$1,'Data for SPECIATE'!$C$5:$L$26,10,FALSE)</f>
        <v>0</v>
      </c>
      <c r="I43" s="188" cm="1">
        <f t="array" ref="I43">SUMPRODUCT(('Data for SPECIATE'!$C$5:$C$26='PM Protocol'!I$1)*('Data for SPECIATE'!$M$1:$AZ$1='PM Protocol'!$A43)*'Data for SPECIATE'!$M$5:$AZ$26)/VLOOKUP(I$1,'Data for SPECIATE'!$C$5:$L$26,10,FALSE)</f>
        <v>0</v>
      </c>
      <c r="J43" s="188" cm="1">
        <f t="array" ref="J43">SUMPRODUCT(('Data for SPECIATE'!$C$5:$C$26='PM Protocol'!J$1)*('Data for SPECIATE'!$M$1:$AZ$1='PM Protocol'!$A43)*'Data for SPECIATE'!$M$5:$AZ$26)/VLOOKUP(J$1,'Data for SPECIATE'!$C$5:$L$26,10,FALSE)</f>
        <v>0</v>
      </c>
      <c r="K43" s="188" cm="1">
        <f t="array" ref="K43">SUMPRODUCT(('Data for SPECIATE'!$C$5:$C$26='PM Protocol'!K$1)*('Data for SPECIATE'!$M$1:$AZ$1='PM Protocol'!$A43)*'Data for SPECIATE'!$M$5:$AZ$26)/VLOOKUP(K$1,'Data for SPECIATE'!$C$5:$L$26,10,FALSE)</f>
        <v>0</v>
      </c>
      <c r="L43" s="188" cm="1">
        <f t="array" ref="L43">SUMPRODUCT(('Data for SPECIATE'!$C$5:$C$26='PM Protocol'!L$1)*('Data for SPECIATE'!$M$1:$AZ$1='PM Protocol'!$A43)*'Data for SPECIATE'!$M$5:$AZ$26)/VLOOKUP(L$1,'Data for SPECIATE'!$C$5:$L$26,10,FALSE)</f>
        <v>0</v>
      </c>
      <c r="M43" s="188" cm="1">
        <f t="array" ref="M43">SUMPRODUCT(('Data for SPECIATE'!$C$5:$C$26='PM Protocol'!M$1)*('Data for SPECIATE'!$M$1:$AZ$1='PM Protocol'!$A43)*'Data for SPECIATE'!$M$5:$AZ$26)/VLOOKUP(M$1,'Data for SPECIATE'!$C$5:$L$26,10,FALSE)</f>
        <v>0</v>
      </c>
      <c r="N43" s="188" cm="1">
        <f t="array" ref="N43">SUMPRODUCT(('Data for SPECIATE'!$C$5:$C$26='PM Protocol'!N$1)*('Data for SPECIATE'!$M$1:$AZ$1='PM Protocol'!$A43)*'Data for SPECIATE'!$M$5:$AZ$26)/VLOOKUP(N$1,'Data for SPECIATE'!$C$5:$L$26,10,FALSE)</f>
        <v>0</v>
      </c>
      <c r="O43" s="188" cm="1">
        <f t="array" ref="O43">SUMPRODUCT(('Data for SPECIATE'!$C$5:$C$26='PM Protocol'!O$1)*('Data for SPECIATE'!$M$1:$AZ$1='PM Protocol'!$A43)*'Data for SPECIATE'!$M$5:$AZ$26)/VLOOKUP(O$1,'Data for SPECIATE'!$C$5:$L$26,10,FALSE)</f>
        <v>0</v>
      </c>
      <c r="P43" s="188" cm="1">
        <f t="array" ref="P43">SUMPRODUCT(('Data for SPECIATE'!$C$5:$C$26='PM Protocol'!P$1)*('Data for SPECIATE'!$M$1:$AZ$1='PM Protocol'!$A43)*'Data for SPECIATE'!$M$5:$AZ$26)/VLOOKUP(P$1,'Data for SPECIATE'!$C$5:$L$26,10,FALSE)</f>
        <v>0</v>
      </c>
      <c r="Q43" s="188" cm="1">
        <f t="array" ref="Q43">SUMPRODUCT(('Data for SPECIATE'!$C$5:$C$26='PM Protocol'!Q$1)*('Data for SPECIATE'!$M$1:$AZ$1='PM Protocol'!$A43)*'Data for SPECIATE'!$M$5:$AZ$26)/VLOOKUP(Q$1,'Data for SPECIATE'!$C$5:$L$26,10,FALSE)</f>
        <v>0</v>
      </c>
      <c r="R43" s="188" cm="1">
        <f t="array" ref="R43">SUMPRODUCT(('Data for SPECIATE'!$C$5:$C$26='PM Protocol'!R$1)*('Data for SPECIATE'!$M$1:$AZ$1='PM Protocol'!$A43)*'Data for SPECIATE'!$M$5:$AZ$26)/SUMPRODUCT(('Data for SPECIATE'!$C$5:$C$26='PM Protocol'!R$1)*'Data for SPECIATE'!$M$5:$AZ$26)</f>
        <v>0</v>
      </c>
      <c r="S43" s="188" cm="1">
        <f t="array" ref="S43">SUMPRODUCT(('Data for SPECIATE'!$C$5:$C$26='PM Protocol'!S$1)*('Data for SPECIATE'!$M$1:$AZ$1='PM Protocol'!$A43)*'Data for SPECIATE'!$M$5:$AZ$26)/VLOOKUP(S$1,'Data for SPECIATE'!$C$5:$L$26,10,FALSE)</f>
        <v>0</v>
      </c>
      <c r="T43" s="188" cm="1">
        <f t="array" ref="T43">SUMPRODUCT(('Data for SPECIATE'!$C$5:$C$26='PM Protocol'!T$1)*('Data for SPECIATE'!$M$1:$AZ$1='PM Protocol'!$A43)*'Data for SPECIATE'!$M$5:$AZ$26)/VLOOKUP(T$1,'Data for SPECIATE'!$C$5:$L$26,10,FALSE)</f>
        <v>0</v>
      </c>
      <c r="U43" s="188" cm="1">
        <f t="array" ref="U43">SUMPRODUCT(('Data for SPECIATE'!$C$5:$C$26='PM Protocol'!U$1)*('Data for SPECIATE'!$M$1:$AZ$1='PM Protocol'!$A43)*'Data for SPECIATE'!$M$5:$AZ$26)/VLOOKUP(U$1,'Data for SPECIATE'!$C$5:$L$26,10,FALSE)</f>
        <v>0</v>
      </c>
      <c r="V43" s="188" cm="1">
        <f t="array" ref="V43">SUMPRODUCT(('Data for SPECIATE'!$C$5:$C$26='PM Protocol'!V$1)*('Data for SPECIATE'!$M$1:$AZ$1='PM Protocol'!$A43)*'Data for SPECIATE'!$M$5:$AZ$26)/VLOOKUP(V$1,'Data for SPECIATE'!$C$5:$L$26,10,FALSE)</f>
        <v>0</v>
      </c>
      <c r="W43" s="188" cm="1">
        <f t="array" ref="W43">SUMPRODUCT(('Data for SPECIATE'!$C$5:$C$26='PM Protocol'!W$1)*('Data for SPECIATE'!$M$1:$AZ$1='PM Protocol'!$A43)*'Data for SPECIATE'!$M$5:$AZ$26)/VLOOKUP(W$1,'Data for SPECIATE'!$C$5:$L$26,10,FALSE)</f>
        <v>0</v>
      </c>
      <c r="X43" s="188" cm="1">
        <f t="array" ref="X43">SUMPRODUCT(('Data for SPECIATE'!$C$5:$C$26='PM Protocol'!X$1)*('Data for SPECIATE'!$M$1:$AZ$1='PM Protocol'!$A43)*'Data for SPECIATE'!$M$5:$AZ$26)/VLOOKUP(X$1,'Data for SPECIATE'!$C$5:$L$26,10,FALSE)</f>
        <v>0</v>
      </c>
      <c r="Y43" s="188" cm="1">
        <f t="array" ref="Y43">SUMPRODUCT(('Data for SPECIATE'!$C$5:$C$26='PM Protocol'!Y$1)*('Data for SPECIATE'!$M$1:$AZ$1='PM Protocol'!$A43)*'Data for SPECIATE'!$M$5:$AZ$26)/VLOOKUP(Y$1,'Data for SPECIATE'!$C$5:$L$26,10,FALSE)</f>
        <v>0</v>
      </c>
      <c r="Z43" s="188" cm="1">
        <f t="array" ref="Z43">SUMPRODUCT(('Data for SPECIATE'!$C$5:$C$26='PM Protocol'!Z$1)*('Data for SPECIATE'!$M$1:$AZ$1='PM Protocol'!$A43)*'Data for SPECIATE'!$M$5:$AZ$26)/VLOOKUP(Z$1,'Data for SPECIATE'!$C$5:$L$26,10,FALSE)</f>
        <v>0</v>
      </c>
    </row>
    <row r="44" spans="1:26">
      <c r="A44">
        <v>3331</v>
      </c>
      <c r="B44" t="s">
        <v>20</v>
      </c>
      <c r="C44" s="191">
        <f>IFERROR(VLOOKUP(A44,Oxides!$A$2:$G$39,7,FALSE),0)</f>
        <v>0</v>
      </c>
      <c r="D44" t="s">
        <v>702</v>
      </c>
      <c r="E44" s="188" cm="1">
        <f t="array" ref="E44">SUMPRODUCT(('Data for SPECIATE'!$C$5:$C$26='PM Protocol'!E$1)*('Data for SPECIATE'!$M$1:$AZ$1='PM Protocol'!$A44)*'Data for SPECIATE'!$M$5:$AZ$26)/VLOOKUP(E$1,'Data for SPECIATE'!$C$5:$L$26,10,FALSE)</f>
        <v>0</v>
      </c>
      <c r="F44" s="188" cm="1">
        <f t="array" ref="F44">SUMPRODUCT(('Data for SPECIATE'!$C$5:$C$26='PM Protocol'!F$1)*('Data for SPECIATE'!$M$1:$AZ$1='PM Protocol'!$A44)*'Data for SPECIATE'!$M$5:$AZ$26)/VLOOKUP(F$1,'Data for SPECIATE'!$C$5:$L$26,10,FALSE)</f>
        <v>0</v>
      </c>
      <c r="G44" s="188" cm="1">
        <f t="array" ref="G44">SUMPRODUCT(('Data for SPECIATE'!$C$5:$C$26='PM Protocol'!G$1)*('Data for SPECIATE'!$M$1:$AZ$1='PM Protocol'!$A44)*'Data for SPECIATE'!$M$5:$AZ$26)/VLOOKUP(G$1,'Data for SPECIATE'!$C$5:$L$26,10,FALSE)</f>
        <v>0</v>
      </c>
      <c r="H44" s="188" cm="1">
        <f t="array" ref="H44">SUMPRODUCT(('Data for SPECIATE'!$C$5:$C$26='PM Protocol'!H$1)*('Data for SPECIATE'!$M$1:$AZ$1='PM Protocol'!$A44)*'Data for SPECIATE'!$M$5:$AZ$26)/VLOOKUP(H$1,'Data for SPECIATE'!$C$5:$L$26,10,FALSE)</f>
        <v>0</v>
      </c>
      <c r="I44" s="188" cm="1">
        <f t="array" ref="I44">SUMPRODUCT(('Data for SPECIATE'!$C$5:$C$26='PM Protocol'!I$1)*('Data for SPECIATE'!$M$1:$AZ$1='PM Protocol'!$A44)*'Data for SPECIATE'!$M$5:$AZ$26)/VLOOKUP(I$1,'Data for SPECIATE'!$C$5:$L$26,10,FALSE)</f>
        <v>0</v>
      </c>
      <c r="J44" s="188" cm="1">
        <f t="array" ref="J44">SUMPRODUCT(('Data for SPECIATE'!$C$5:$C$26='PM Protocol'!J$1)*('Data for SPECIATE'!$M$1:$AZ$1='PM Protocol'!$A44)*'Data for SPECIATE'!$M$5:$AZ$26)/VLOOKUP(J$1,'Data for SPECIATE'!$C$5:$L$26,10,FALSE)</f>
        <v>0</v>
      </c>
      <c r="K44" s="188" cm="1">
        <f t="array" ref="K44">SUMPRODUCT(('Data for SPECIATE'!$C$5:$C$26='PM Protocol'!K$1)*('Data for SPECIATE'!$M$1:$AZ$1='PM Protocol'!$A44)*'Data for SPECIATE'!$M$5:$AZ$26)/VLOOKUP(K$1,'Data for SPECIATE'!$C$5:$L$26,10,FALSE)</f>
        <v>0</v>
      </c>
      <c r="L44" s="188" cm="1">
        <f t="array" ref="L44">SUMPRODUCT(('Data for SPECIATE'!$C$5:$C$26='PM Protocol'!L$1)*('Data for SPECIATE'!$M$1:$AZ$1='PM Protocol'!$A44)*'Data for SPECIATE'!$M$5:$AZ$26)/VLOOKUP(L$1,'Data for SPECIATE'!$C$5:$L$26,10,FALSE)</f>
        <v>0</v>
      </c>
      <c r="M44" s="188" cm="1">
        <f t="array" ref="M44">SUMPRODUCT(('Data for SPECIATE'!$C$5:$C$26='PM Protocol'!M$1)*('Data for SPECIATE'!$M$1:$AZ$1='PM Protocol'!$A44)*'Data for SPECIATE'!$M$5:$AZ$26)/VLOOKUP(M$1,'Data for SPECIATE'!$C$5:$L$26,10,FALSE)</f>
        <v>0</v>
      </c>
      <c r="N44" s="188" cm="1">
        <f t="array" ref="N44">SUMPRODUCT(('Data for SPECIATE'!$C$5:$C$26='PM Protocol'!N$1)*('Data for SPECIATE'!$M$1:$AZ$1='PM Protocol'!$A44)*'Data for SPECIATE'!$M$5:$AZ$26)/VLOOKUP(N$1,'Data for SPECIATE'!$C$5:$L$26,10,FALSE)</f>
        <v>0</v>
      </c>
      <c r="O44" s="188" cm="1">
        <f t="array" ref="O44">SUMPRODUCT(('Data for SPECIATE'!$C$5:$C$26='PM Protocol'!O$1)*('Data for SPECIATE'!$M$1:$AZ$1='PM Protocol'!$A44)*'Data for SPECIATE'!$M$5:$AZ$26)/VLOOKUP(O$1,'Data for SPECIATE'!$C$5:$L$26,10,FALSE)</f>
        <v>0</v>
      </c>
      <c r="P44" s="188" cm="1">
        <f t="array" ref="P44">SUMPRODUCT(('Data for SPECIATE'!$C$5:$C$26='PM Protocol'!P$1)*('Data for SPECIATE'!$M$1:$AZ$1='PM Protocol'!$A44)*'Data for SPECIATE'!$M$5:$AZ$26)/VLOOKUP(P$1,'Data for SPECIATE'!$C$5:$L$26,10,FALSE)</f>
        <v>0</v>
      </c>
      <c r="Q44" s="188" cm="1">
        <f t="array" ref="Q44">SUMPRODUCT(('Data for SPECIATE'!$C$5:$C$26='PM Protocol'!Q$1)*('Data for SPECIATE'!$M$1:$AZ$1='PM Protocol'!$A44)*'Data for SPECIATE'!$M$5:$AZ$26)/VLOOKUP(Q$1,'Data for SPECIATE'!$C$5:$L$26,10,FALSE)</f>
        <v>0</v>
      </c>
      <c r="R44" s="188" cm="1">
        <f t="array" ref="R44">SUMPRODUCT(('Data for SPECIATE'!$C$5:$C$26='PM Protocol'!R$1)*('Data for SPECIATE'!$M$1:$AZ$1='PM Protocol'!$A44)*'Data for SPECIATE'!$M$5:$AZ$26)/SUMPRODUCT(('Data for SPECIATE'!$C$5:$C$26='PM Protocol'!R$1)*'Data for SPECIATE'!$M$5:$AZ$26)</f>
        <v>0</v>
      </c>
      <c r="S44" s="188" cm="1">
        <f t="array" ref="S44">SUMPRODUCT(('Data for SPECIATE'!$C$5:$C$26='PM Protocol'!S$1)*('Data for SPECIATE'!$M$1:$AZ$1='PM Protocol'!$A44)*'Data for SPECIATE'!$M$5:$AZ$26)/VLOOKUP(S$1,'Data for SPECIATE'!$C$5:$L$26,10,FALSE)</f>
        <v>0</v>
      </c>
      <c r="T44" s="188" cm="1">
        <f t="array" ref="T44">SUMPRODUCT(('Data for SPECIATE'!$C$5:$C$26='PM Protocol'!T$1)*('Data for SPECIATE'!$M$1:$AZ$1='PM Protocol'!$A44)*'Data for SPECIATE'!$M$5:$AZ$26)/VLOOKUP(T$1,'Data for SPECIATE'!$C$5:$L$26,10,FALSE)</f>
        <v>0</v>
      </c>
      <c r="U44" s="188" cm="1">
        <f t="array" ref="U44">SUMPRODUCT(('Data for SPECIATE'!$C$5:$C$26='PM Protocol'!U$1)*('Data for SPECIATE'!$M$1:$AZ$1='PM Protocol'!$A44)*'Data for SPECIATE'!$M$5:$AZ$26)/VLOOKUP(U$1,'Data for SPECIATE'!$C$5:$L$26,10,FALSE)</f>
        <v>0</v>
      </c>
      <c r="V44" s="188" cm="1">
        <f t="array" ref="V44">SUMPRODUCT(('Data for SPECIATE'!$C$5:$C$26='PM Protocol'!V$1)*('Data for SPECIATE'!$M$1:$AZ$1='PM Protocol'!$A44)*'Data for SPECIATE'!$M$5:$AZ$26)/VLOOKUP(V$1,'Data for SPECIATE'!$C$5:$L$26,10,FALSE)</f>
        <v>0</v>
      </c>
      <c r="W44" s="188" cm="1">
        <f t="array" ref="W44">SUMPRODUCT(('Data for SPECIATE'!$C$5:$C$26='PM Protocol'!W$1)*('Data for SPECIATE'!$M$1:$AZ$1='PM Protocol'!$A44)*'Data for SPECIATE'!$M$5:$AZ$26)/VLOOKUP(W$1,'Data for SPECIATE'!$C$5:$L$26,10,FALSE)</f>
        <v>0</v>
      </c>
      <c r="X44" s="188" cm="1">
        <f t="array" ref="X44">SUMPRODUCT(('Data for SPECIATE'!$C$5:$C$26='PM Protocol'!X$1)*('Data for SPECIATE'!$M$1:$AZ$1='PM Protocol'!$A44)*'Data for SPECIATE'!$M$5:$AZ$26)/VLOOKUP(X$1,'Data for SPECIATE'!$C$5:$L$26,10,FALSE)</f>
        <v>0</v>
      </c>
      <c r="Y44" s="188" cm="1">
        <f t="array" ref="Y44">SUMPRODUCT(('Data for SPECIATE'!$C$5:$C$26='PM Protocol'!Y$1)*('Data for SPECIATE'!$M$1:$AZ$1='PM Protocol'!$A44)*'Data for SPECIATE'!$M$5:$AZ$26)/VLOOKUP(Y$1,'Data for SPECIATE'!$C$5:$L$26,10,FALSE)</f>
        <v>0</v>
      </c>
      <c r="Z44" s="188" cm="1">
        <f t="array" ref="Z44">SUMPRODUCT(('Data for SPECIATE'!$C$5:$C$26='PM Protocol'!Z$1)*('Data for SPECIATE'!$M$1:$AZ$1='PM Protocol'!$A44)*'Data for SPECIATE'!$M$5:$AZ$26)/VLOOKUP(Z$1,'Data for SPECIATE'!$C$5:$L$26,10,FALSE)</f>
        <v>0</v>
      </c>
    </row>
    <row r="45" spans="1:26">
      <c r="A45">
        <v>3332</v>
      </c>
      <c r="B45" t="s">
        <v>20</v>
      </c>
      <c r="C45" s="191">
        <f>IFERROR(VLOOKUP(A45,Oxides!$A$2:$G$39,7,FALSE),0)</f>
        <v>0</v>
      </c>
      <c r="D45" t="s">
        <v>703</v>
      </c>
      <c r="E45" s="188" cm="1">
        <f t="array" ref="E45">SUMPRODUCT(('Data for SPECIATE'!$C$5:$C$26='PM Protocol'!E$1)*('Data for SPECIATE'!$M$1:$AZ$1='PM Protocol'!$A45)*'Data for SPECIATE'!$M$5:$AZ$26)/VLOOKUP(E$1,'Data for SPECIATE'!$C$5:$L$26,10,FALSE)</f>
        <v>0</v>
      </c>
      <c r="F45" s="188" cm="1">
        <f t="array" ref="F45">SUMPRODUCT(('Data for SPECIATE'!$C$5:$C$26='PM Protocol'!F$1)*('Data for SPECIATE'!$M$1:$AZ$1='PM Protocol'!$A45)*'Data for SPECIATE'!$M$5:$AZ$26)/VLOOKUP(F$1,'Data for SPECIATE'!$C$5:$L$26,10,FALSE)</f>
        <v>0</v>
      </c>
      <c r="G45" s="188" cm="1">
        <f t="array" ref="G45">SUMPRODUCT(('Data for SPECIATE'!$C$5:$C$26='PM Protocol'!G$1)*('Data for SPECIATE'!$M$1:$AZ$1='PM Protocol'!$A45)*'Data for SPECIATE'!$M$5:$AZ$26)/VLOOKUP(G$1,'Data for SPECIATE'!$C$5:$L$26,10,FALSE)</f>
        <v>0</v>
      </c>
      <c r="H45" s="188" cm="1">
        <f t="array" ref="H45">SUMPRODUCT(('Data for SPECIATE'!$C$5:$C$26='PM Protocol'!H$1)*('Data for SPECIATE'!$M$1:$AZ$1='PM Protocol'!$A45)*'Data for SPECIATE'!$M$5:$AZ$26)/VLOOKUP(H$1,'Data for SPECIATE'!$C$5:$L$26,10,FALSE)</f>
        <v>0</v>
      </c>
      <c r="I45" s="188" cm="1">
        <f t="array" ref="I45">SUMPRODUCT(('Data for SPECIATE'!$C$5:$C$26='PM Protocol'!I$1)*('Data for SPECIATE'!$M$1:$AZ$1='PM Protocol'!$A45)*'Data for SPECIATE'!$M$5:$AZ$26)/VLOOKUP(I$1,'Data for SPECIATE'!$C$5:$L$26,10,FALSE)</f>
        <v>0</v>
      </c>
      <c r="J45" s="188" cm="1">
        <f t="array" ref="J45">SUMPRODUCT(('Data for SPECIATE'!$C$5:$C$26='PM Protocol'!J$1)*('Data for SPECIATE'!$M$1:$AZ$1='PM Protocol'!$A45)*'Data for SPECIATE'!$M$5:$AZ$26)/VLOOKUP(J$1,'Data for SPECIATE'!$C$5:$L$26,10,FALSE)</f>
        <v>0</v>
      </c>
      <c r="K45" s="188" cm="1">
        <f t="array" ref="K45">SUMPRODUCT(('Data for SPECIATE'!$C$5:$C$26='PM Protocol'!K$1)*('Data for SPECIATE'!$M$1:$AZ$1='PM Protocol'!$A45)*'Data for SPECIATE'!$M$5:$AZ$26)/VLOOKUP(K$1,'Data for SPECIATE'!$C$5:$L$26,10,FALSE)</f>
        <v>0</v>
      </c>
      <c r="L45" s="188" cm="1">
        <f t="array" ref="L45">SUMPRODUCT(('Data for SPECIATE'!$C$5:$C$26='PM Protocol'!L$1)*('Data for SPECIATE'!$M$1:$AZ$1='PM Protocol'!$A45)*'Data for SPECIATE'!$M$5:$AZ$26)/VLOOKUP(L$1,'Data for SPECIATE'!$C$5:$L$26,10,FALSE)</f>
        <v>0</v>
      </c>
      <c r="M45" s="188" cm="1">
        <f t="array" ref="M45">SUMPRODUCT(('Data for SPECIATE'!$C$5:$C$26='PM Protocol'!M$1)*('Data for SPECIATE'!$M$1:$AZ$1='PM Protocol'!$A45)*'Data for SPECIATE'!$M$5:$AZ$26)/VLOOKUP(M$1,'Data for SPECIATE'!$C$5:$L$26,10,FALSE)</f>
        <v>0</v>
      </c>
      <c r="N45" s="188" cm="1">
        <f t="array" ref="N45">SUMPRODUCT(('Data for SPECIATE'!$C$5:$C$26='PM Protocol'!N$1)*('Data for SPECIATE'!$M$1:$AZ$1='PM Protocol'!$A45)*'Data for SPECIATE'!$M$5:$AZ$26)/VLOOKUP(N$1,'Data for SPECIATE'!$C$5:$L$26,10,FALSE)</f>
        <v>0</v>
      </c>
      <c r="O45" s="188" cm="1">
        <f t="array" ref="O45">SUMPRODUCT(('Data for SPECIATE'!$C$5:$C$26='PM Protocol'!O$1)*('Data for SPECIATE'!$M$1:$AZ$1='PM Protocol'!$A45)*'Data for SPECIATE'!$M$5:$AZ$26)/VLOOKUP(O$1,'Data for SPECIATE'!$C$5:$L$26,10,FALSE)</f>
        <v>0</v>
      </c>
      <c r="P45" s="188" cm="1">
        <f t="array" ref="P45">SUMPRODUCT(('Data for SPECIATE'!$C$5:$C$26='PM Protocol'!P$1)*('Data for SPECIATE'!$M$1:$AZ$1='PM Protocol'!$A45)*'Data for SPECIATE'!$M$5:$AZ$26)/VLOOKUP(P$1,'Data for SPECIATE'!$C$5:$L$26,10,FALSE)</f>
        <v>0</v>
      </c>
      <c r="Q45" s="188" cm="1">
        <f t="array" ref="Q45">SUMPRODUCT(('Data for SPECIATE'!$C$5:$C$26='PM Protocol'!Q$1)*('Data for SPECIATE'!$M$1:$AZ$1='PM Protocol'!$A45)*'Data for SPECIATE'!$M$5:$AZ$26)/VLOOKUP(Q$1,'Data for SPECIATE'!$C$5:$L$26,10,FALSE)</f>
        <v>0</v>
      </c>
      <c r="R45" s="188" cm="1">
        <f t="array" ref="R45">SUMPRODUCT(('Data for SPECIATE'!$C$5:$C$26='PM Protocol'!R$1)*('Data for SPECIATE'!$M$1:$AZ$1='PM Protocol'!$A45)*'Data for SPECIATE'!$M$5:$AZ$26)/SUMPRODUCT(('Data for SPECIATE'!$C$5:$C$26='PM Protocol'!R$1)*'Data for SPECIATE'!$M$5:$AZ$26)</f>
        <v>0</v>
      </c>
      <c r="S45" s="188" cm="1">
        <f t="array" ref="S45">SUMPRODUCT(('Data for SPECIATE'!$C$5:$C$26='PM Protocol'!S$1)*('Data for SPECIATE'!$M$1:$AZ$1='PM Protocol'!$A45)*'Data for SPECIATE'!$M$5:$AZ$26)/VLOOKUP(S$1,'Data for SPECIATE'!$C$5:$L$26,10,FALSE)</f>
        <v>0</v>
      </c>
      <c r="T45" s="188" cm="1">
        <f t="array" ref="T45">SUMPRODUCT(('Data for SPECIATE'!$C$5:$C$26='PM Protocol'!T$1)*('Data for SPECIATE'!$M$1:$AZ$1='PM Protocol'!$A45)*'Data for SPECIATE'!$M$5:$AZ$26)/VLOOKUP(T$1,'Data for SPECIATE'!$C$5:$L$26,10,FALSE)</f>
        <v>0</v>
      </c>
      <c r="U45" s="188" cm="1">
        <f t="array" ref="U45">SUMPRODUCT(('Data for SPECIATE'!$C$5:$C$26='PM Protocol'!U$1)*('Data for SPECIATE'!$M$1:$AZ$1='PM Protocol'!$A45)*'Data for SPECIATE'!$M$5:$AZ$26)/VLOOKUP(U$1,'Data for SPECIATE'!$C$5:$L$26,10,FALSE)</f>
        <v>0</v>
      </c>
      <c r="V45" s="188" cm="1">
        <f t="array" ref="V45">SUMPRODUCT(('Data for SPECIATE'!$C$5:$C$26='PM Protocol'!V$1)*('Data for SPECIATE'!$M$1:$AZ$1='PM Protocol'!$A45)*'Data for SPECIATE'!$M$5:$AZ$26)/VLOOKUP(V$1,'Data for SPECIATE'!$C$5:$L$26,10,FALSE)</f>
        <v>0</v>
      </c>
      <c r="W45" s="188" cm="1">
        <f t="array" ref="W45">SUMPRODUCT(('Data for SPECIATE'!$C$5:$C$26='PM Protocol'!W$1)*('Data for SPECIATE'!$M$1:$AZ$1='PM Protocol'!$A45)*'Data for SPECIATE'!$M$5:$AZ$26)/VLOOKUP(W$1,'Data for SPECIATE'!$C$5:$L$26,10,FALSE)</f>
        <v>0</v>
      </c>
      <c r="X45" s="188" cm="1">
        <f t="array" ref="X45">SUMPRODUCT(('Data for SPECIATE'!$C$5:$C$26='PM Protocol'!X$1)*('Data for SPECIATE'!$M$1:$AZ$1='PM Protocol'!$A45)*'Data for SPECIATE'!$M$5:$AZ$26)/VLOOKUP(X$1,'Data for SPECIATE'!$C$5:$L$26,10,FALSE)</f>
        <v>0</v>
      </c>
      <c r="Y45" s="188" cm="1">
        <f t="array" ref="Y45">SUMPRODUCT(('Data for SPECIATE'!$C$5:$C$26='PM Protocol'!Y$1)*('Data for SPECIATE'!$M$1:$AZ$1='PM Protocol'!$A45)*'Data for SPECIATE'!$M$5:$AZ$26)/VLOOKUP(Y$1,'Data for SPECIATE'!$C$5:$L$26,10,FALSE)</f>
        <v>0</v>
      </c>
      <c r="Z45" s="188" cm="1">
        <f t="array" ref="Z45">SUMPRODUCT(('Data for SPECIATE'!$C$5:$C$26='PM Protocol'!Z$1)*('Data for SPECIATE'!$M$1:$AZ$1='PM Protocol'!$A45)*'Data for SPECIATE'!$M$5:$AZ$26)/VLOOKUP(Z$1,'Data for SPECIATE'!$C$5:$L$26,10,FALSE)</f>
        <v>0</v>
      </c>
    </row>
    <row r="46" spans="1:26">
      <c r="A46">
        <v>3333</v>
      </c>
      <c r="B46" t="s">
        <v>20</v>
      </c>
      <c r="C46" s="191">
        <f>IFERROR(VLOOKUP(A46,Oxides!$A$2:$G$39,7,FALSE),0)</f>
        <v>0</v>
      </c>
      <c r="D46" t="s">
        <v>704</v>
      </c>
      <c r="E46" s="188" cm="1">
        <f t="array" ref="E46">SUMPRODUCT(('Data for SPECIATE'!$C$5:$C$26='PM Protocol'!E$1)*('Data for SPECIATE'!$M$1:$AZ$1='PM Protocol'!$A46)*'Data for SPECIATE'!$M$5:$AZ$26)/VLOOKUP(E$1,'Data for SPECIATE'!$C$5:$L$26,10,FALSE)</f>
        <v>0</v>
      </c>
      <c r="F46" s="188" cm="1">
        <f t="array" ref="F46">SUMPRODUCT(('Data for SPECIATE'!$C$5:$C$26='PM Protocol'!F$1)*('Data for SPECIATE'!$M$1:$AZ$1='PM Protocol'!$A46)*'Data for SPECIATE'!$M$5:$AZ$26)/VLOOKUP(F$1,'Data for SPECIATE'!$C$5:$L$26,10,FALSE)</f>
        <v>0</v>
      </c>
      <c r="G46" s="188" cm="1">
        <f t="array" ref="G46">SUMPRODUCT(('Data for SPECIATE'!$C$5:$C$26='PM Protocol'!G$1)*('Data for SPECIATE'!$M$1:$AZ$1='PM Protocol'!$A46)*'Data for SPECIATE'!$M$5:$AZ$26)/VLOOKUP(G$1,'Data for SPECIATE'!$C$5:$L$26,10,FALSE)</f>
        <v>0</v>
      </c>
      <c r="H46" s="188" cm="1">
        <f t="array" ref="H46">SUMPRODUCT(('Data for SPECIATE'!$C$5:$C$26='PM Protocol'!H$1)*('Data for SPECIATE'!$M$1:$AZ$1='PM Protocol'!$A46)*'Data for SPECIATE'!$M$5:$AZ$26)/VLOOKUP(H$1,'Data for SPECIATE'!$C$5:$L$26,10,FALSE)</f>
        <v>0</v>
      </c>
      <c r="I46" s="188" cm="1">
        <f t="array" ref="I46">SUMPRODUCT(('Data for SPECIATE'!$C$5:$C$26='PM Protocol'!I$1)*('Data for SPECIATE'!$M$1:$AZ$1='PM Protocol'!$A46)*'Data for SPECIATE'!$M$5:$AZ$26)/VLOOKUP(I$1,'Data for SPECIATE'!$C$5:$L$26,10,FALSE)</f>
        <v>0</v>
      </c>
      <c r="J46" s="188" cm="1">
        <f t="array" ref="J46">SUMPRODUCT(('Data for SPECIATE'!$C$5:$C$26='PM Protocol'!J$1)*('Data for SPECIATE'!$M$1:$AZ$1='PM Protocol'!$A46)*'Data for SPECIATE'!$M$5:$AZ$26)/VLOOKUP(J$1,'Data for SPECIATE'!$C$5:$L$26,10,FALSE)</f>
        <v>0</v>
      </c>
      <c r="K46" s="188" cm="1">
        <f t="array" ref="K46">SUMPRODUCT(('Data for SPECIATE'!$C$5:$C$26='PM Protocol'!K$1)*('Data for SPECIATE'!$M$1:$AZ$1='PM Protocol'!$A46)*'Data for SPECIATE'!$M$5:$AZ$26)/VLOOKUP(K$1,'Data for SPECIATE'!$C$5:$L$26,10,FALSE)</f>
        <v>0</v>
      </c>
      <c r="L46" s="188" cm="1">
        <f t="array" ref="L46">SUMPRODUCT(('Data for SPECIATE'!$C$5:$C$26='PM Protocol'!L$1)*('Data for SPECIATE'!$M$1:$AZ$1='PM Protocol'!$A46)*'Data for SPECIATE'!$M$5:$AZ$26)/VLOOKUP(L$1,'Data for SPECIATE'!$C$5:$L$26,10,FALSE)</f>
        <v>0</v>
      </c>
      <c r="M46" s="188" cm="1">
        <f t="array" ref="M46">SUMPRODUCT(('Data for SPECIATE'!$C$5:$C$26='PM Protocol'!M$1)*('Data for SPECIATE'!$M$1:$AZ$1='PM Protocol'!$A46)*'Data for SPECIATE'!$M$5:$AZ$26)/VLOOKUP(M$1,'Data for SPECIATE'!$C$5:$L$26,10,FALSE)</f>
        <v>0</v>
      </c>
      <c r="N46" s="188" cm="1">
        <f t="array" ref="N46">SUMPRODUCT(('Data for SPECIATE'!$C$5:$C$26='PM Protocol'!N$1)*('Data for SPECIATE'!$M$1:$AZ$1='PM Protocol'!$A46)*'Data for SPECIATE'!$M$5:$AZ$26)/VLOOKUP(N$1,'Data for SPECIATE'!$C$5:$L$26,10,FALSE)</f>
        <v>0</v>
      </c>
      <c r="O46" s="188" cm="1">
        <f t="array" ref="O46">SUMPRODUCT(('Data for SPECIATE'!$C$5:$C$26='PM Protocol'!O$1)*('Data for SPECIATE'!$M$1:$AZ$1='PM Protocol'!$A46)*'Data for SPECIATE'!$M$5:$AZ$26)/VLOOKUP(O$1,'Data for SPECIATE'!$C$5:$L$26,10,FALSE)</f>
        <v>0</v>
      </c>
      <c r="P46" s="188" cm="1">
        <f t="array" ref="P46">SUMPRODUCT(('Data for SPECIATE'!$C$5:$C$26='PM Protocol'!P$1)*('Data for SPECIATE'!$M$1:$AZ$1='PM Protocol'!$A46)*'Data for SPECIATE'!$M$5:$AZ$26)/VLOOKUP(P$1,'Data for SPECIATE'!$C$5:$L$26,10,FALSE)</f>
        <v>0</v>
      </c>
      <c r="Q46" s="188" cm="1">
        <f t="array" ref="Q46">SUMPRODUCT(('Data for SPECIATE'!$C$5:$C$26='PM Protocol'!Q$1)*('Data for SPECIATE'!$M$1:$AZ$1='PM Protocol'!$A46)*'Data for SPECIATE'!$M$5:$AZ$26)/VLOOKUP(Q$1,'Data for SPECIATE'!$C$5:$L$26,10,FALSE)</f>
        <v>0</v>
      </c>
      <c r="R46" s="188" cm="1">
        <f t="array" ref="R46">SUMPRODUCT(('Data for SPECIATE'!$C$5:$C$26='PM Protocol'!R$1)*('Data for SPECIATE'!$M$1:$AZ$1='PM Protocol'!$A46)*'Data for SPECIATE'!$M$5:$AZ$26)/SUMPRODUCT(('Data for SPECIATE'!$C$5:$C$26='PM Protocol'!R$1)*'Data for SPECIATE'!$M$5:$AZ$26)</f>
        <v>0</v>
      </c>
      <c r="S46" s="188" cm="1">
        <f t="array" ref="S46">SUMPRODUCT(('Data for SPECIATE'!$C$5:$C$26='PM Protocol'!S$1)*('Data for SPECIATE'!$M$1:$AZ$1='PM Protocol'!$A46)*'Data for SPECIATE'!$M$5:$AZ$26)/VLOOKUP(S$1,'Data for SPECIATE'!$C$5:$L$26,10,FALSE)</f>
        <v>0</v>
      </c>
      <c r="T46" s="188" cm="1">
        <f t="array" ref="T46">SUMPRODUCT(('Data for SPECIATE'!$C$5:$C$26='PM Protocol'!T$1)*('Data for SPECIATE'!$M$1:$AZ$1='PM Protocol'!$A46)*'Data for SPECIATE'!$M$5:$AZ$26)/VLOOKUP(T$1,'Data for SPECIATE'!$C$5:$L$26,10,FALSE)</f>
        <v>0</v>
      </c>
      <c r="U46" s="188" cm="1">
        <f t="array" ref="U46">SUMPRODUCT(('Data for SPECIATE'!$C$5:$C$26='PM Protocol'!U$1)*('Data for SPECIATE'!$M$1:$AZ$1='PM Protocol'!$A46)*'Data for SPECIATE'!$M$5:$AZ$26)/VLOOKUP(U$1,'Data for SPECIATE'!$C$5:$L$26,10,FALSE)</f>
        <v>0</v>
      </c>
      <c r="V46" s="188" cm="1">
        <f t="array" ref="V46">SUMPRODUCT(('Data for SPECIATE'!$C$5:$C$26='PM Protocol'!V$1)*('Data for SPECIATE'!$M$1:$AZ$1='PM Protocol'!$A46)*'Data for SPECIATE'!$M$5:$AZ$26)/VLOOKUP(V$1,'Data for SPECIATE'!$C$5:$L$26,10,FALSE)</f>
        <v>0</v>
      </c>
      <c r="W46" s="188" cm="1">
        <f t="array" ref="W46">SUMPRODUCT(('Data for SPECIATE'!$C$5:$C$26='PM Protocol'!W$1)*('Data for SPECIATE'!$M$1:$AZ$1='PM Protocol'!$A46)*'Data for SPECIATE'!$M$5:$AZ$26)/VLOOKUP(W$1,'Data for SPECIATE'!$C$5:$L$26,10,FALSE)</f>
        <v>0</v>
      </c>
      <c r="X46" s="188" cm="1">
        <f t="array" ref="X46">SUMPRODUCT(('Data for SPECIATE'!$C$5:$C$26='PM Protocol'!X$1)*('Data for SPECIATE'!$M$1:$AZ$1='PM Protocol'!$A46)*'Data for SPECIATE'!$M$5:$AZ$26)/VLOOKUP(X$1,'Data for SPECIATE'!$C$5:$L$26,10,FALSE)</f>
        <v>0</v>
      </c>
      <c r="Y46" s="188" cm="1">
        <f t="array" ref="Y46">SUMPRODUCT(('Data for SPECIATE'!$C$5:$C$26='PM Protocol'!Y$1)*('Data for SPECIATE'!$M$1:$AZ$1='PM Protocol'!$A46)*'Data for SPECIATE'!$M$5:$AZ$26)/VLOOKUP(Y$1,'Data for SPECIATE'!$C$5:$L$26,10,FALSE)</f>
        <v>0</v>
      </c>
      <c r="Z46" s="188" cm="1">
        <f t="array" ref="Z46">SUMPRODUCT(('Data for SPECIATE'!$C$5:$C$26='PM Protocol'!Z$1)*('Data for SPECIATE'!$M$1:$AZ$1='PM Protocol'!$A46)*'Data for SPECIATE'!$M$5:$AZ$26)/VLOOKUP(Z$1,'Data for SPECIATE'!$C$5:$L$26,10,FALSE)</f>
        <v>0</v>
      </c>
    </row>
    <row r="47" spans="1:26">
      <c r="A47">
        <v>3334</v>
      </c>
      <c r="B47" t="s">
        <v>20</v>
      </c>
      <c r="C47" s="191">
        <f>IFERROR(VLOOKUP(A47,Oxides!$A$2:$G$39,7,FALSE),0)</f>
        <v>0</v>
      </c>
      <c r="D47" t="s">
        <v>705</v>
      </c>
      <c r="E47" s="188" cm="1">
        <f t="array" ref="E47">SUMPRODUCT(('Data for SPECIATE'!$C$5:$C$26='PM Protocol'!E$1)*('Data for SPECIATE'!$M$1:$AZ$1='PM Protocol'!$A47)*'Data for SPECIATE'!$M$5:$AZ$26)/VLOOKUP(E$1,'Data for SPECIATE'!$C$5:$L$26,10,FALSE)</f>
        <v>0</v>
      </c>
      <c r="F47" s="188" cm="1">
        <f t="array" ref="F47">SUMPRODUCT(('Data for SPECIATE'!$C$5:$C$26='PM Protocol'!F$1)*('Data for SPECIATE'!$M$1:$AZ$1='PM Protocol'!$A47)*'Data for SPECIATE'!$M$5:$AZ$26)/VLOOKUP(F$1,'Data for SPECIATE'!$C$5:$L$26,10,FALSE)</f>
        <v>0</v>
      </c>
      <c r="G47" s="188" cm="1">
        <f t="array" ref="G47">SUMPRODUCT(('Data for SPECIATE'!$C$5:$C$26='PM Protocol'!G$1)*('Data for SPECIATE'!$M$1:$AZ$1='PM Protocol'!$A47)*'Data for SPECIATE'!$M$5:$AZ$26)/VLOOKUP(G$1,'Data for SPECIATE'!$C$5:$L$26,10,FALSE)</f>
        <v>0</v>
      </c>
      <c r="H47" s="188" cm="1">
        <f t="array" ref="H47">SUMPRODUCT(('Data for SPECIATE'!$C$5:$C$26='PM Protocol'!H$1)*('Data for SPECIATE'!$M$1:$AZ$1='PM Protocol'!$A47)*'Data for SPECIATE'!$M$5:$AZ$26)/VLOOKUP(H$1,'Data for SPECIATE'!$C$5:$L$26,10,FALSE)</f>
        <v>0</v>
      </c>
      <c r="I47" s="188" cm="1">
        <f t="array" ref="I47">SUMPRODUCT(('Data for SPECIATE'!$C$5:$C$26='PM Protocol'!I$1)*('Data for SPECIATE'!$M$1:$AZ$1='PM Protocol'!$A47)*'Data for SPECIATE'!$M$5:$AZ$26)/VLOOKUP(I$1,'Data for SPECIATE'!$C$5:$L$26,10,FALSE)</f>
        <v>0</v>
      </c>
      <c r="J47" s="188" cm="1">
        <f t="array" ref="J47">SUMPRODUCT(('Data for SPECIATE'!$C$5:$C$26='PM Protocol'!J$1)*('Data for SPECIATE'!$M$1:$AZ$1='PM Protocol'!$A47)*'Data for SPECIATE'!$M$5:$AZ$26)/VLOOKUP(J$1,'Data for SPECIATE'!$C$5:$L$26,10,FALSE)</f>
        <v>0</v>
      </c>
      <c r="K47" s="188" cm="1">
        <f t="array" ref="K47">SUMPRODUCT(('Data for SPECIATE'!$C$5:$C$26='PM Protocol'!K$1)*('Data for SPECIATE'!$M$1:$AZ$1='PM Protocol'!$A47)*'Data for SPECIATE'!$M$5:$AZ$26)/VLOOKUP(K$1,'Data for SPECIATE'!$C$5:$L$26,10,FALSE)</f>
        <v>0</v>
      </c>
      <c r="L47" s="188" cm="1">
        <f t="array" ref="L47">SUMPRODUCT(('Data for SPECIATE'!$C$5:$C$26='PM Protocol'!L$1)*('Data for SPECIATE'!$M$1:$AZ$1='PM Protocol'!$A47)*'Data for SPECIATE'!$M$5:$AZ$26)/VLOOKUP(L$1,'Data for SPECIATE'!$C$5:$L$26,10,FALSE)</f>
        <v>0</v>
      </c>
      <c r="M47" s="188" cm="1">
        <f t="array" ref="M47">SUMPRODUCT(('Data for SPECIATE'!$C$5:$C$26='PM Protocol'!M$1)*('Data for SPECIATE'!$M$1:$AZ$1='PM Protocol'!$A47)*'Data for SPECIATE'!$M$5:$AZ$26)/VLOOKUP(M$1,'Data for SPECIATE'!$C$5:$L$26,10,FALSE)</f>
        <v>0</v>
      </c>
      <c r="N47" s="188" cm="1">
        <f t="array" ref="N47">SUMPRODUCT(('Data for SPECIATE'!$C$5:$C$26='PM Protocol'!N$1)*('Data for SPECIATE'!$M$1:$AZ$1='PM Protocol'!$A47)*'Data for SPECIATE'!$M$5:$AZ$26)/VLOOKUP(N$1,'Data for SPECIATE'!$C$5:$L$26,10,FALSE)</f>
        <v>0</v>
      </c>
      <c r="O47" s="188" cm="1">
        <f t="array" ref="O47">SUMPRODUCT(('Data for SPECIATE'!$C$5:$C$26='PM Protocol'!O$1)*('Data for SPECIATE'!$M$1:$AZ$1='PM Protocol'!$A47)*'Data for SPECIATE'!$M$5:$AZ$26)/VLOOKUP(O$1,'Data for SPECIATE'!$C$5:$L$26,10,FALSE)</f>
        <v>0</v>
      </c>
      <c r="P47" s="188" cm="1">
        <f t="array" ref="P47">SUMPRODUCT(('Data for SPECIATE'!$C$5:$C$26='PM Protocol'!P$1)*('Data for SPECIATE'!$M$1:$AZ$1='PM Protocol'!$A47)*'Data for SPECIATE'!$M$5:$AZ$26)/VLOOKUP(P$1,'Data for SPECIATE'!$C$5:$L$26,10,FALSE)</f>
        <v>0</v>
      </c>
      <c r="Q47" s="188" cm="1">
        <f t="array" ref="Q47">SUMPRODUCT(('Data for SPECIATE'!$C$5:$C$26='PM Protocol'!Q$1)*('Data for SPECIATE'!$M$1:$AZ$1='PM Protocol'!$A47)*'Data for SPECIATE'!$M$5:$AZ$26)/VLOOKUP(Q$1,'Data for SPECIATE'!$C$5:$L$26,10,FALSE)</f>
        <v>0</v>
      </c>
      <c r="R47" s="188" cm="1">
        <f t="array" ref="R47">SUMPRODUCT(('Data for SPECIATE'!$C$5:$C$26='PM Protocol'!R$1)*('Data for SPECIATE'!$M$1:$AZ$1='PM Protocol'!$A47)*'Data for SPECIATE'!$M$5:$AZ$26)/SUMPRODUCT(('Data for SPECIATE'!$C$5:$C$26='PM Protocol'!R$1)*'Data for SPECIATE'!$M$5:$AZ$26)</f>
        <v>0</v>
      </c>
      <c r="S47" s="188" cm="1">
        <f t="array" ref="S47">SUMPRODUCT(('Data for SPECIATE'!$C$5:$C$26='PM Protocol'!S$1)*('Data for SPECIATE'!$M$1:$AZ$1='PM Protocol'!$A47)*'Data for SPECIATE'!$M$5:$AZ$26)/VLOOKUP(S$1,'Data for SPECIATE'!$C$5:$L$26,10,FALSE)</f>
        <v>0</v>
      </c>
      <c r="T47" s="188" cm="1">
        <f t="array" ref="T47">SUMPRODUCT(('Data for SPECIATE'!$C$5:$C$26='PM Protocol'!T$1)*('Data for SPECIATE'!$M$1:$AZ$1='PM Protocol'!$A47)*'Data for SPECIATE'!$M$5:$AZ$26)/VLOOKUP(T$1,'Data for SPECIATE'!$C$5:$L$26,10,FALSE)</f>
        <v>0</v>
      </c>
      <c r="U47" s="188" cm="1">
        <f t="array" ref="U47">SUMPRODUCT(('Data for SPECIATE'!$C$5:$C$26='PM Protocol'!U$1)*('Data for SPECIATE'!$M$1:$AZ$1='PM Protocol'!$A47)*'Data for SPECIATE'!$M$5:$AZ$26)/VLOOKUP(U$1,'Data for SPECIATE'!$C$5:$L$26,10,FALSE)</f>
        <v>0</v>
      </c>
      <c r="V47" s="188" cm="1">
        <f t="array" ref="V47">SUMPRODUCT(('Data for SPECIATE'!$C$5:$C$26='PM Protocol'!V$1)*('Data for SPECIATE'!$M$1:$AZ$1='PM Protocol'!$A47)*'Data for SPECIATE'!$M$5:$AZ$26)/VLOOKUP(V$1,'Data for SPECIATE'!$C$5:$L$26,10,FALSE)</f>
        <v>0</v>
      </c>
      <c r="W47" s="188" cm="1">
        <f t="array" ref="W47">SUMPRODUCT(('Data for SPECIATE'!$C$5:$C$26='PM Protocol'!W$1)*('Data for SPECIATE'!$M$1:$AZ$1='PM Protocol'!$A47)*'Data for SPECIATE'!$M$5:$AZ$26)/VLOOKUP(W$1,'Data for SPECIATE'!$C$5:$L$26,10,FALSE)</f>
        <v>0</v>
      </c>
      <c r="X47" s="188" cm="1">
        <f t="array" ref="X47">SUMPRODUCT(('Data for SPECIATE'!$C$5:$C$26='PM Protocol'!X$1)*('Data for SPECIATE'!$M$1:$AZ$1='PM Protocol'!$A47)*'Data for SPECIATE'!$M$5:$AZ$26)/VLOOKUP(X$1,'Data for SPECIATE'!$C$5:$L$26,10,FALSE)</f>
        <v>0</v>
      </c>
      <c r="Y47" s="188" cm="1">
        <f t="array" ref="Y47">SUMPRODUCT(('Data for SPECIATE'!$C$5:$C$26='PM Protocol'!Y$1)*('Data for SPECIATE'!$M$1:$AZ$1='PM Protocol'!$A47)*'Data for SPECIATE'!$M$5:$AZ$26)/VLOOKUP(Y$1,'Data for SPECIATE'!$C$5:$L$26,10,FALSE)</f>
        <v>0</v>
      </c>
      <c r="Z47" s="188" cm="1">
        <f t="array" ref="Z47">SUMPRODUCT(('Data for SPECIATE'!$C$5:$C$26='PM Protocol'!Z$1)*('Data for SPECIATE'!$M$1:$AZ$1='PM Protocol'!$A47)*'Data for SPECIATE'!$M$5:$AZ$26)/VLOOKUP(Z$1,'Data for SPECIATE'!$C$5:$L$26,10,FALSE)</f>
        <v>0</v>
      </c>
    </row>
    <row r="48" spans="1:26">
      <c r="A48">
        <v>3341</v>
      </c>
      <c r="B48" t="s">
        <v>20</v>
      </c>
      <c r="C48" s="191">
        <f>IFERROR(VLOOKUP(A48,Oxides!$A$2:$G$39,7,FALSE),0)</f>
        <v>0</v>
      </c>
      <c r="D48" t="s">
        <v>706</v>
      </c>
      <c r="E48" s="188" cm="1">
        <f t="array" ref="E48">SUMPRODUCT(('Data for SPECIATE'!$C$5:$C$26='PM Protocol'!E$1)*('Data for SPECIATE'!$M$1:$AZ$1='PM Protocol'!$A48)*'Data for SPECIATE'!$M$5:$AZ$26)/VLOOKUP(E$1,'Data for SPECIATE'!$C$5:$L$26,10,FALSE)</f>
        <v>0</v>
      </c>
      <c r="F48" s="188" cm="1">
        <f t="array" ref="F48">SUMPRODUCT(('Data for SPECIATE'!$C$5:$C$26='PM Protocol'!F$1)*('Data for SPECIATE'!$M$1:$AZ$1='PM Protocol'!$A48)*'Data for SPECIATE'!$M$5:$AZ$26)/VLOOKUP(F$1,'Data for SPECIATE'!$C$5:$L$26,10,FALSE)</f>
        <v>0</v>
      </c>
      <c r="G48" s="188" cm="1">
        <f t="array" ref="G48">SUMPRODUCT(('Data for SPECIATE'!$C$5:$C$26='PM Protocol'!G$1)*('Data for SPECIATE'!$M$1:$AZ$1='PM Protocol'!$A48)*'Data for SPECIATE'!$M$5:$AZ$26)/VLOOKUP(G$1,'Data for SPECIATE'!$C$5:$L$26,10,FALSE)</f>
        <v>0</v>
      </c>
      <c r="H48" s="188" cm="1">
        <f t="array" ref="H48">SUMPRODUCT(('Data for SPECIATE'!$C$5:$C$26='PM Protocol'!H$1)*('Data for SPECIATE'!$M$1:$AZ$1='PM Protocol'!$A48)*'Data for SPECIATE'!$M$5:$AZ$26)/VLOOKUP(H$1,'Data for SPECIATE'!$C$5:$L$26,10,FALSE)</f>
        <v>0</v>
      </c>
      <c r="I48" s="188" cm="1">
        <f t="array" ref="I48">SUMPRODUCT(('Data for SPECIATE'!$C$5:$C$26='PM Protocol'!I$1)*('Data for SPECIATE'!$M$1:$AZ$1='PM Protocol'!$A48)*'Data for SPECIATE'!$M$5:$AZ$26)/VLOOKUP(I$1,'Data for SPECIATE'!$C$5:$L$26,10,FALSE)</f>
        <v>0</v>
      </c>
      <c r="J48" s="188" cm="1">
        <f t="array" ref="J48">SUMPRODUCT(('Data for SPECIATE'!$C$5:$C$26='PM Protocol'!J$1)*('Data for SPECIATE'!$M$1:$AZ$1='PM Protocol'!$A48)*'Data for SPECIATE'!$M$5:$AZ$26)/VLOOKUP(J$1,'Data for SPECIATE'!$C$5:$L$26,10,FALSE)</f>
        <v>0</v>
      </c>
      <c r="K48" s="188" cm="1">
        <f t="array" ref="K48">SUMPRODUCT(('Data for SPECIATE'!$C$5:$C$26='PM Protocol'!K$1)*('Data for SPECIATE'!$M$1:$AZ$1='PM Protocol'!$A48)*'Data for SPECIATE'!$M$5:$AZ$26)/VLOOKUP(K$1,'Data for SPECIATE'!$C$5:$L$26,10,FALSE)</f>
        <v>0</v>
      </c>
      <c r="L48" s="188" cm="1">
        <f t="array" ref="L48">SUMPRODUCT(('Data for SPECIATE'!$C$5:$C$26='PM Protocol'!L$1)*('Data for SPECIATE'!$M$1:$AZ$1='PM Protocol'!$A48)*'Data for SPECIATE'!$M$5:$AZ$26)/VLOOKUP(L$1,'Data for SPECIATE'!$C$5:$L$26,10,FALSE)</f>
        <v>0</v>
      </c>
      <c r="M48" s="188" cm="1">
        <f t="array" ref="M48">SUMPRODUCT(('Data for SPECIATE'!$C$5:$C$26='PM Protocol'!M$1)*('Data for SPECIATE'!$M$1:$AZ$1='PM Protocol'!$A48)*'Data for SPECIATE'!$M$5:$AZ$26)/VLOOKUP(M$1,'Data for SPECIATE'!$C$5:$L$26,10,FALSE)</f>
        <v>0</v>
      </c>
      <c r="N48" s="188" cm="1">
        <f t="array" ref="N48">SUMPRODUCT(('Data for SPECIATE'!$C$5:$C$26='PM Protocol'!N$1)*('Data for SPECIATE'!$M$1:$AZ$1='PM Protocol'!$A48)*'Data for SPECIATE'!$M$5:$AZ$26)/VLOOKUP(N$1,'Data for SPECIATE'!$C$5:$L$26,10,FALSE)</f>
        <v>0</v>
      </c>
      <c r="O48" s="188" cm="1">
        <f t="array" ref="O48">SUMPRODUCT(('Data for SPECIATE'!$C$5:$C$26='PM Protocol'!O$1)*('Data for SPECIATE'!$M$1:$AZ$1='PM Protocol'!$A48)*'Data for SPECIATE'!$M$5:$AZ$26)/VLOOKUP(O$1,'Data for SPECIATE'!$C$5:$L$26,10,FALSE)</f>
        <v>0</v>
      </c>
      <c r="P48" s="188" cm="1">
        <f t="array" ref="P48">SUMPRODUCT(('Data for SPECIATE'!$C$5:$C$26='PM Protocol'!P$1)*('Data for SPECIATE'!$M$1:$AZ$1='PM Protocol'!$A48)*'Data for SPECIATE'!$M$5:$AZ$26)/VLOOKUP(P$1,'Data for SPECIATE'!$C$5:$L$26,10,FALSE)</f>
        <v>0</v>
      </c>
      <c r="Q48" s="188" cm="1">
        <f t="array" ref="Q48">SUMPRODUCT(('Data for SPECIATE'!$C$5:$C$26='PM Protocol'!Q$1)*('Data for SPECIATE'!$M$1:$AZ$1='PM Protocol'!$A48)*'Data for SPECIATE'!$M$5:$AZ$26)/VLOOKUP(Q$1,'Data for SPECIATE'!$C$5:$L$26,10,FALSE)</f>
        <v>0</v>
      </c>
      <c r="R48" s="188" cm="1">
        <f t="array" ref="R48">SUMPRODUCT(('Data for SPECIATE'!$C$5:$C$26='PM Protocol'!R$1)*('Data for SPECIATE'!$M$1:$AZ$1='PM Protocol'!$A48)*'Data for SPECIATE'!$M$5:$AZ$26)/SUMPRODUCT(('Data for SPECIATE'!$C$5:$C$26='PM Protocol'!R$1)*'Data for SPECIATE'!$M$5:$AZ$26)</f>
        <v>0</v>
      </c>
      <c r="S48" s="188" cm="1">
        <f t="array" ref="S48">SUMPRODUCT(('Data for SPECIATE'!$C$5:$C$26='PM Protocol'!S$1)*('Data for SPECIATE'!$M$1:$AZ$1='PM Protocol'!$A48)*'Data for SPECIATE'!$M$5:$AZ$26)/VLOOKUP(S$1,'Data for SPECIATE'!$C$5:$L$26,10,FALSE)</f>
        <v>0</v>
      </c>
      <c r="T48" s="188" cm="1">
        <f t="array" ref="T48">SUMPRODUCT(('Data for SPECIATE'!$C$5:$C$26='PM Protocol'!T$1)*('Data for SPECIATE'!$M$1:$AZ$1='PM Protocol'!$A48)*'Data for SPECIATE'!$M$5:$AZ$26)/VLOOKUP(T$1,'Data for SPECIATE'!$C$5:$L$26,10,FALSE)</f>
        <v>0</v>
      </c>
      <c r="U48" s="188" cm="1">
        <f t="array" ref="U48">SUMPRODUCT(('Data for SPECIATE'!$C$5:$C$26='PM Protocol'!U$1)*('Data for SPECIATE'!$M$1:$AZ$1='PM Protocol'!$A48)*'Data for SPECIATE'!$M$5:$AZ$26)/VLOOKUP(U$1,'Data for SPECIATE'!$C$5:$L$26,10,FALSE)</f>
        <v>0</v>
      </c>
      <c r="V48" s="188" cm="1">
        <f t="array" ref="V48">SUMPRODUCT(('Data for SPECIATE'!$C$5:$C$26='PM Protocol'!V$1)*('Data for SPECIATE'!$M$1:$AZ$1='PM Protocol'!$A48)*'Data for SPECIATE'!$M$5:$AZ$26)/VLOOKUP(V$1,'Data for SPECIATE'!$C$5:$L$26,10,FALSE)</f>
        <v>0</v>
      </c>
      <c r="W48" s="188" cm="1">
        <f t="array" ref="W48">SUMPRODUCT(('Data for SPECIATE'!$C$5:$C$26='PM Protocol'!W$1)*('Data for SPECIATE'!$M$1:$AZ$1='PM Protocol'!$A48)*'Data for SPECIATE'!$M$5:$AZ$26)/VLOOKUP(W$1,'Data for SPECIATE'!$C$5:$L$26,10,FALSE)</f>
        <v>0</v>
      </c>
      <c r="X48" s="188" cm="1">
        <f t="array" ref="X48">SUMPRODUCT(('Data for SPECIATE'!$C$5:$C$26='PM Protocol'!X$1)*('Data for SPECIATE'!$M$1:$AZ$1='PM Protocol'!$A48)*'Data for SPECIATE'!$M$5:$AZ$26)/VLOOKUP(X$1,'Data for SPECIATE'!$C$5:$L$26,10,FALSE)</f>
        <v>0</v>
      </c>
      <c r="Y48" s="188" cm="1">
        <f t="array" ref="Y48">SUMPRODUCT(('Data for SPECIATE'!$C$5:$C$26='PM Protocol'!Y$1)*('Data for SPECIATE'!$M$1:$AZ$1='PM Protocol'!$A48)*'Data for SPECIATE'!$M$5:$AZ$26)/VLOOKUP(Y$1,'Data for SPECIATE'!$C$5:$L$26,10,FALSE)</f>
        <v>0</v>
      </c>
      <c r="Z48" s="188" cm="1">
        <f t="array" ref="Z48">SUMPRODUCT(('Data for SPECIATE'!$C$5:$C$26='PM Protocol'!Z$1)*('Data for SPECIATE'!$M$1:$AZ$1='PM Protocol'!$A48)*'Data for SPECIATE'!$M$5:$AZ$26)/VLOOKUP(Z$1,'Data for SPECIATE'!$C$5:$L$26,10,FALSE)</f>
        <v>0</v>
      </c>
    </row>
    <row r="49" spans="1:26">
      <c r="A49">
        <v>3342</v>
      </c>
      <c r="B49" t="s">
        <v>20</v>
      </c>
      <c r="C49" s="191">
        <f>IFERROR(VLOOKUP(A49,Oxides!$A$2:$G$39,7,FALSE),0)</f>
        <v>0</v>
      </c>
      <c r="D49" t="s">
        <v>707</v>
      </c>
      <c r="E49" s="188" cm="1">
        <f t="array" ref="E49">SUMPRODUCT(('Data for SPECIATE'!$C$5:$C$26='PM Protocol'!E$1)*('Data for SPECIATE'!$M$1:$AZ$1='PM Protocol'!$A49)*'Data for SPECIATE'!$M$5:$AZ$26)/VLOOKUP(E$1,'Data for SPECIATE'!$C$5:$L$26,10,FALSE)</f>
        <v>0</v>
      </c>
      <c r="F49" s="188" cm="1">
        <f t="array" ref="F49">SUMPRODUCT(('Data for SPECIATE'!$C$5:$C$26='PM Protocol'!F$1)*('Data for SPECIATE'!$M$1:$AZ$1='PM Protocol'!$A49)*'Data for SPECIATE'!$M$5:$AZ$26)/VLOOKUP(F$1,'Data for SPECIATE'!$C$5:$L$26,10,FALSE)</f>
        <v>0</v>
      </c>
      <c r="G49" s="188" cm="1">
        <f t="array" ref="G49">SUMPRODUCT(('Data for SPECIATE'!$C$5:$C$26='PM Protocol'!G$1)*('Data for SPECIATE'!$M$1:$AZ$1='PM Protocol'!$A49)*'Data for SPECIATE'!$M$5:$AZ$26)/VLOOKUP(G$1,'Data for SPECIATE'!$C$5:$L$26,10,FALSE)</f>
        <v>0</v>
      </c>
      <c r="H49" s="188" cm="1">
        <f t="array" ref="H49">SUMPRODUCT(('Data for SPECIATE'!$C$5:$C$26='PM Protocol'!H$1)*('Data for SPECIATE'!$M$1:$AZ$1='PM Protocol'!$A49)*'Data for SPECIATE'!$M$5:$AZ$26)/VLOOKUP(H$1,'Data for SPECIATE'!$C$5:$L$26,10,FALSE)</f>
        <v>0</v>
      </c>
      <c r="I49" s="188" cm="1">
        <f t="array" ref="I49">SUMPRODUCT(('Data for SPECIATE'!$C$5:$C$26='PM Protocol'!I$1)*('Data for SPECIATE'!$M$1:$AZ$1='PM Protocol'!$A49)*'Data for SPECIATE'!$M$5:$AZ$26)/VLOOKUP(I$1,'Data for SPECIATE'!$C$5:$L$26,10,FALSE)</f>
        <v>0</v>
      </c>
      <c r="J49" s="188" cm="1">
        <f t="array" ref="J49">SUMPRODUCT(('Data for SPECIATE'!$C$5:$C$26='PM Protocol'!J$1)*('Data for SPECIATE'!$M$1:$AZ$1='PM Protocol'!$A49)*'Data for SPECIATE'!$M$5:$AZ$26)/VLOOKUP(J$1,'Data for SPECIATE'!$C$5:$L$26,10,FALSE)</f>
        <v>0</v>
      </c>
      <c r="K49" s="188" cm="1">
        <f t="array" ref="K49">SUMPRODUCT(('Data for SPECIATE'!$C$5:$C$26='PM Protocol'!K$1)*('Data for SPECIATE'!$M$1:$AZ$1='PM Protocol'!$A49)*'Data for SPECIATE'!$M$5:$AZ$26)/VLOOKUP(K$1,'Data for SPECIATE'!$C$5:$L$26,10,FALSE)</f>
        <v>0</v>
      </c>
      <c r="L49" s="188" cm="1">
        <f t="array" ref="L49">SUMPRODUCT(('Data for SPECIATE'!$C$5:$C$26='PM Protocol'!L$1)*('Data for SPECIATE'!$M$1:$AZ$1='PM Protocol'!$A49)*'Data for SPECIATE'!$M$5:$AZ$26)/VLOOKUP(L$1,'Data for SPECIATE'!$C$5:$L$26,10,FALSE)</f>
        <v>0</v>
      </c>
      <c r="M49" s="188" cm="1">
        <f t="array" ref="M49">SUMPRODUCT(('Data for SPECIATE'!$C$5:$C$26='PM Protocol'!M$1)*('Data for SPECIATE'!$M$1:$AZ$1='PM Protocol'!$A49)*'Data for SPECIATE'!$M$5:$AZ$26)/VLOOKUP(M$1,'Data for SPECIATE'!$C$5:$L$26,10,FALSE)</f>
        <v>0</v>
      </c>
      <c r="N49" s="188" cm="1">
        <f t="array" ref="N49">SUMPRODUCT(('Data for SPECIATE'!$C$5:$C$26='PM Protocol'!N$1)*('Data for SPECIATE'!$M$1:$AZ$1='PM Protocol'!$A49)*'Data for SPECIATE'!$M$5:$AZ$26)/VLOOKUP(N$1,'Data for SPECIATE'!$C$5:$L$26,10,FALSE)</f>
        <v>0</v>
      </c>
      <c r="O49" s="188" cm="1">
        <f t="array" ref="O49">SUMPRODUCT(('Data for SPECIATE'!$C$5:$C$26='PM Protocol'!O$1)*('Data for SPECIATE'!$M$1:$AZ$1='PM Protocol'!$A49)*'Data for SPECIATE'!$M$5:$AZ$26)/VLOOKUP(O$1,'Data for SPECIATE'!$C$5:$L$26,10,FALSE)</f>
        <v>0</v>
      </c>
      <c r="P49" s="188" cm="1">
        <f t="array" ref="P49">SUMPRODUCT(('Data for SPECIATE'!$C$5:$C$26='PM Protocol'!P$1)*('Data for SPECIATE'!$M$1:$AZ$1='PM Protocol'!$A49)*'Data for SPECIATE'!$M$5:$AZ$26)/VLOOKUP(P$1,'Data for SPECIATE'!$C$5:$L$26,10,FALSE)</f>
        <v>0</v>
      </c>
      <c r="Q49" s="188" cm="1">
        <f t="array" ref="Q49">SUMPRODUCT(('Data for SPECIATE'!$C$5:$C$26='PM Protocol'!Q$1)*('Data for SPECIATE'!$M$1:$AZ$1='PM Protocol'!$A49)*'Data for SPECIATE'!$M$5:$AZ$26)/VLOOKUP(Q$1,'Data for SPECIATE'!$C$5:$L$26,10,FALSE)</f>
        <v>0</v>
      </c>
      <c r="R49" s="188" cm="1">
        <f t="array" ref="R49">SUMPRODUCT(('Data for SPECIATE'!$C$5:$C$26='PM Protocol'!R$1)*('Data for SPECIATE'!$M$1:$AZ$1='PM Protocol'!$A49)*'Data for SPECIATE'!$M$5:$AZ$26)/SUMPRODUCT(('Data for SPECIATE'!$C$5:$C$26='PM Protocol'!R$1)*'Data for SPECIATE'!$M$5:$AZ$26)</f>
        <v>0</v>
      </c>
      <c r="S49" s="188" cm="1">
        <f t="array" ref="S49">SUMPRODUCT(('Data for SPECIATE'!$C$5:$C$26='PM Protocol'!S$1)*('Data for SPECIATE'!$M$1:$AZ$1='PM Protocol'!$A49)*'Data for SPECIATE'!$M$5:$AZ$26)/VLOOKUP(S$1,'Data for SPECIATE'!$C$5:$L$26,10,FALSE)</f>
        <v>0</v>
      </c>
      <c r="T49" s="188" cm="1">
        <f t="array" ref="T49">SUMPRODUCT(('Data for SPECIATE'!$C$5:$C$26='PM Protocol'!T$1)*('Data for SPECIATE'!$M$1:$AZ$1='PM Protocol'!$A49)*'Data for SPECIATE'!$M$5:$AZ$26)/VLOOKUP(T$1,'Data for SPECIATE'!$C$5:$L$26,10,FALSE)</f>
        <v>0</v>
      </c>
      <c r="U49" s="188" cm="1">
        <f t="array" ref="U49">SUMPRODUCT(('Data for SPECIATE'!$C$5:$C$26='PM Protocol'!U$1)*('Data for SPECIATE'!$M$1:$AZ$1='PM Protocol'!$A49)*'Data for SPECIATE'!$M$5:$AZ$26)/VLOOKUP(U$1,'Data for SPECIATE'!$C$5:$L$26,10,FALSE)</f>
        <v>0</v>
      </c>
      <c r="V49" s="188" cm="1">
        <f t="array" ref="V49">SUMPRODUCT(('Data for SPECIATE'!$C$5:$C$26='PM Protocol'!V$1)*('Data for SPECIATE'!$M$1:$AZ$1='PM Protocol'!$A49)*'Data for SPECIATE'!$M$5:$AZ$26)/VLOOKUP(V$1,'Data for SPECIATE'!$C$5:$L$26,10,FALSE)</f>
        <v>0</v>
      </c>
      <c r="W49" s="188" cm="1">
        <f t="array" ref="W49">SUMPRODUCT(('Data for SPECIATE'!$C$5:$C$26='PM Protocol'!W$1)*('Data for SPECIATE'!$M$1:$AZ$1='PM Protocol'!$A49)*'Data for SPECIATE'!$M$5:$AZ$26)/VLOOKUP(W$1,'Data for SPECIATE'!$C$5:$L$26,10,FALSE)</f>
        <v>0</v>
      </c>
      <c r="X49" s="188" cm="1">
        <f t="array" ref="X49">SUMPRODUCT(('Data for SPECIATE'!$C$5:$C$26='PM Protocol'!X$1)*('Data for SPECIATE'!$M$1:$AZ$1='PM Protocol'!$A49)*'Data for SPECIATE'!$M$5:$AZ$26)/VLOOKUP(X$1,'Data for SPECIATE'!$C$5:$L$26,10,FALSE)</f>
        <v>0</v>
      </c>
      <c r="Y49" s="188" cm="1">
        <f t="array" ref="Y49">SUMPRODUCT(('Data for SPECIATE'!$C$5:$C$26='PM Protocol'!Y$1)*('Data for SPECIATE'!$M$1:$AZ$1='PM Protocol'!$A49)*'Data for SPECIATE'!$M$5:$AZ$26)/VLOOKUP(Y$1,'Data for SPECIATE'!$C$5:$L$26,10,FALSE)</f>
        <v>0</v>
      </c>
      <c r="Z49" s="188" cm="1">
        <f t="array" ref="Z49">SUMPRODUCT(('Data for SPECIATE'!$C$5:$C$26='PM Protocol'!Z$1)*('Data for SPECIATE'!$M$1:$AZ$1='PM Protocol'!$A49)*'Data for SPECIATE'!$M$5:$AZ$26)/VLOOKUP(Z$1,'Data for SPECIATE'!$C$5:$L$26,10,FALSE)</f>
        <v>0</v>
      </c>
    </row>
    <row r="50" spans="1:26">
      <c r="A50">
        <v>3343</v>
      </c>
      <c r="B50" t="s">
        <v>20</v>
      </c>
      <c r="C50" s="191">
        <f>IFERROR(VLOOKUP(A50,Oxides!$A$2:$G$39,7,FALSE),0)</f>
        <v>0</v>
      </c>
      <c r="D50" t="s">
        <v>708</v>
      </c>
      <c r="E50" s="188" cm="1">
        <f t="array" ref="E50">SUMPRODUCT(('Data for SPECIATE'!$C$5:$C$26='PM Protocol'!E$1)*('Data for SPECIATE'!$M$1:$AZ$1='PM Protocol'!$A50)*'Data for SPECIATE'!$M$5:$AZ$26)/VLOOKUP(E$1,'Data for SPECIATE'!$C$5:$L$26,10,FALSE)</f>
        <v>0</v>
      </c>
      <c r="F50" s="188" cm="1">
        <f t="array" ref="F50">SUMPRODUCT(('Data for SPECIATE'!$C$5:$C$26='PM Protocol'!F$1)*('Data for SPECIATE'!$M$1:$AZ$1='PM Protocol'!$A50)*'Data for SPECIATE'!$M$5:$AZ$26)/VLOOKUP(F$1,'Data for SPECIATE'!$C$5:$L$26,10,FALSE)</f>
        <v>0</v>
      </c>
      <c r="G50" s="188" cm="1">
        <f t="array" ref="G50">SUMPRODUCT(('Data for SPECIATE'!$C$5:$C$26='PM Protocol'!G$1)*('Data for SPECIATE'!$M$1:$AZ$1='PM Protocol'!$A50)*'Data for SPECIATE'!$M$5:$AZ$26)/VLOOKUP(G$1,'Data for SPECIATE'!$C$5:$L$26,10,FALSE)</f>
        <v>0</v>
      </c>
      <c r="H50" s="188" cm="1">
        <f t="array" ref="H50">SUMPRODUCT(('Data for SPECIATE'!$C$5:$C$26='PM Protocol'!H$1)*('Data for SPECIATE'!$M$1:$AZ$1='PM Protocol'!$A50)*'Data for SPECIATE'!$M$5:$AZ$26)/VLOOKUP(H$1,'Data for SPECIATE'!$C$5:$L$26,10,FALSE)</f>
        <v>0</v>
      </c>
      <c r="I50" s="188" cm="1">
        <f t="array" ref="I50">SUMPRODUCT(('Data for SPECIATE'!$C$5:$C$26='PM Protocol'!I$1)*('Data for SPECIATE'!$M$1:$AZ$1='PM Protocol'!$A50)*'Data for SPECIATE'!$M$5:$AZ$26)/VLOOKUP(I$1,'Data for SPECIATE'!$C$5:$L$26,10,FALSE)</f>
        <v>0</v>
      </c>
      <c r="J50" s="188" cm="1">
        <f t="array" ref="J50">SUMPRODUCT(('Data for SPECIATE'!$C$5:$C$26='PM Protocol'!J$1)*('Data for SPECIATE'!$M$1:$AZ$1='PM Protocol'!$A50)*'Data for SPECIATE'!$M$5:$AZ$26)/VLOOKUP(J$1,'Data for SPECIATE'!$C$5:$L$26,10,FALSE)</f>
        <v>0</v>
      </c>
      <c r="K50" s="188" cm="1">
        <f t="array" ref="K50">SUMPRODUCT(('Data for SPECIATE'!$C$5:$C$26='PM Protocol'!K$1)*('Data for SPECIATE'!$M$1:$AZ$1='PM Protocol'!$A50)*'Data for SPECIATE'!$M$5:$AZ$26)/VLOOKUP(K$1,'Data for SPECIATE'!$C$5:$L$26,10,FALSE)</f>
        <v>0</v>
      </c>
      <c r="L50" s="188" cm="1">
        <f t="array" ref="L50">SUMPRODUCT(('Data for SPECIATE'!$C$5:$C$26='PM Protocol'!L$1)*('Data for SPECIATE'!$M$1:$AZ$1='PM Protocol'!$A50)*'Data for SPECIATE'!$M$5:$AZ$26)/VLOOKUP(L$1,'Data for SPECIATE'!$C$5:$L$26,10,FALSE)</f>
        <v>0</v>
      </c>
      <c r="M50" s="188" cm="1">
        <f t="array" ref="M50">SUMPRODUCT(('Data for SPECIATE'!$C$5:$C$26='PM Protocol'!M$1)*('Data for SPECIATE'!$M$1:$AZ$1='PM Protocol'!$A50)*'Data for SPECIATE'!$M$5:$AZ$26)/VLOOKUP(M$1,'Data for SPECIATE'!$C$5:$L$26,10,FALSE)</f>
        <v>0</v>
      </c>
      <c r="N50" s="188" cm="1">
        <f t="array" ref="N50">SUMPRODUCT(('Data for SPECIATE'!$C$5:$C$26='PM Protocol'!N$1)*('Data for SPECIATE'!$M$1:$AZ$1='PM Protocol'!$A50)*'Data for SPECIATE'!$M$5:$AZ$26)/VLOOKUP(N$1,'Data for SPECIATE'!$C$5:$L$26,10,FALSE)</f>
        <v>0</v>
      </c>
      <c r="O50" s="188" cm="1">
        <f t="array" ref="O50">SUMPRODUCT(('Data for SPECIATE'!$C$5:$C$26='PM Protocol'!O$1)*('Data for SPECIATE'!$M$1:$AZ$1='PM Protocol'!$A50)*'Data for SPECIATE'!$M$5:$AZ$26)/VLOOKUP(O$1,'Data for SPECIATE'!$C$5:$L$26,10,FALSE)</f>
        <v>0</v>
      </c>
      <c r="P50" s="188" cm="1">
        <f t="array" ref="P50">SUMPRODUCT(('Data for SPECIATE'!$C$5:$C$26='PM Protocol'!P$1)*('Data for SPECIATE'!$M$1:$AZ$1='PM Protocol'!$A50)*'Data for SPECIATE'!$M$5:$AZ$26)/VLOOKUP(P$1,'Data for SPECIATE'!$C$5:$L$26,10,FALSE)</f>
        <v>0</v>
      </c>
      <c r="Q50" s="188" cm="1">
        <f t="array" ref="Q50">SUMPRODUCT(('Data for SPECIATE'!$C$5:$C$26='PM Protocol'!Q$1)*('Data for SPECIATE'!$M$1:$AZ$1='PM Protocol'!$A50)*'Data for SPECIATE'!$M$5:$AZ$26)/VLOOKUP(Q$1,'Data for SPECIATE'!$C$5:$L$26,10,FALSE)</f>
        <v>0</v>
      </c>
      <c r="R50" s="188" cm="1">
        <f t="array" ref="R50">SUMPRODUCT(('Data for SPECIATE'!$C$5:$C$26='PM Protocol'!R$1)*('Data for SPECIATE'!$M$1:$AZ$1='PM Protocol'!$A50)*'Data for SPECIATE'!$M$5:$AZ$26)/SUMPRODUCT(('Data for SPECIATE'!$C$5:$C$26='PM Protocol'!R$1)*'Data for SPECIATE'!$M$5:$AZ$26)</f>
        <v>0</v>
      </c>
      <c r="S50" s="188" cm="1">
        <f t="array" ref="S50">SUMPRODUCT(('Data for SPECIATE'!$C$5:$C$26='PM Protocol'!S$1)*('Data for SPECIATE'!$M$1:$AZ$1='PM Protocol'!$A50)*'Data for SPECIATE'!$M$5:$AZ$26)/VLOOKUP(S$1,'Data for SPECIATE'!$C$5:$L$26,10,FALSE)</f>
        <v>0</v>
      </c>
      <c r="T50" s="188" cm="1">
        <f t="array" ref="T50">SUMPRODUCT(('Data for SPECIATE'!$C$5:$C$26='PM Protocol'!T$1)*('Data for SPECIATE'!$M$1:$AZ$1='PM Protocol'!$A50)*'Data for SPECIATE'!$M$5:$AZ$26)/VLOOKUP(T$1,'Data for SPECIATE'!$C$5:$L$26,10,FALSE)</f>
        <v>0</v>
      </c>
      <c r="U50" s="188" cm="1">
        <f t="array" ref="U50">SUMPRODUCT(('Data for SPECIATE'!$C$5:$C$26='PM Protocol'!U$1)*('Data for SPECIATE'!$M$1:$AZ$1='PM Protocol'!$A50)*'Data for SPECIATE'!$M$5:$AZ$26)/VLOOKUP(U$1,'Data for SPECIATE'!$C$5:$L$26,10,FALSE)</f>
        <v>0</v>
      </c>
      <c r="V50" s="188" cm="1">
        <f t="array" ref="V50">SUMPRODUCT(('Data for SPECIATE'!$C$5:$C$26='PM Protocol'!V$1)*('Data for SPECIATE'!$M$1:$AZ$1='PM Protocol'!$A50)*'Data for SPECIATE'!$M$5:$AZ$26)/VLOOKUP(V$1,'Data for SPECIATE'!$C$5:$L$26,10,FALSE)</f>
        <v>0</v>
      </c>
      <c r="W50" s="188" cm="1">
        <f t="array" ref="W50">SUMPRODUCT(('Data for SPECIATE'!$C$5:$C$26='PM Protocol'!W$1)*('Data for SPECIATE'!$M$1:$AZ$1='PM Protocol'!$A50)*'Data for SPECIATE'!$M$5:$AZ$26)/VLOOKUP(W$1,'Data for SPECIATE'!$C$5:$L$26,10,FALSE)</f>
        <v>0</v>
      </c>
      <c r="X50" s="188" cm="1">
        <f t="array" ref="X50">SUMPRODUCT(('Data for SPECIATE'!$C$5:$C$26='PM Protocol'!X$1)*('Data for SPECIATE'!$M$1:$AZ$1='PM Protocol'!$A50)*'Data for SPECIATE'!$M$5:$AZ$26)/VLOOKUP(X$1,'Data for SPECIATE'!$C$5:$L$26,10,FALSE)</f>
        <v>0</v>
      </c>
      <c r="Y50" s="188" cm="1">
        <f t="array" ref="Y50">SUMPRODUCT(('Data for SPECIATE'!$C$5:$C$26='PM Protocol'!Y$1)*('Data for SPECIATE'!$M$1:$AZ$1='PM Protocol'!$A50)*'Data for SPECIATE'!$M$5:$AZ$26)/VLOOKUP(Y$1,'Data for SPECIATE'!$C$5:$L$26,10,FALSE)</f>
        <v>0</v>
      </c>
      <c r="Z50" s="188" cm="1">
        <f t="array" ref="Z50">SUMPRODUCT(('Data for SPECIATE'!$C$5:$C$26='PM Protocol'!Z$1)*('Data for SPECIATE'!$M$1:$AZ$1='PM Protocol'!$A50)*'Data for SPECIATE'!$M$5:$AZ$26)/VLOOKUP(Z$1,'Data for SPECIATE'!$C$5:$L$26,10,FALSE)</f>
        <v>0</v>
      </c>
    </row>
    <row r="51" spans="1:26">
      <c r="A51">
        <v>3344</v>
      </c>
      <c r="B51" t="s">
        <v>20</v>
      </c>
      <c r="C51" s="191">
        <f>IFERROR(VLOOKUP(A51,Oxides!$A$2:$G$39,7,FALSE),0)</f>
        <v>0</v>
      </c>
      <c r="D51" t="s">
        <v>709</v>
      </c>
      <c r="E51" s="188" cm="1">
        <f t="array" ref="E51">SUMPRODUCT(('Data for SPECIATE'!$C$5:$C$26='PM Protocol'!E$1)*('Data for SPECIATE'!$M$1:$AZ$1='PM Protocol'!$A51)*'Data for SPECIATE'!$M$5:$AZ$26)/VLOOKUP(E$1,'Data for SPECIATE'!$C$5:$L$26,10,FALSE)</f>
        <v>0</v>
      </c>
      <c r="F51" s="188" cm="1">
        <f t="array" ref="F51">SUMPRODUCT(('Data for SPECIATE'!$C$5:$C$26='PM Protocol'!F$1)*('Data for SPECIATE'!$M$1:$AZ$1='PM Protocol'!$A51)*'Data for SPECIATE'!$M$5:$AZ$26)/VLOOKUP(F$1,'Data for SPECIATE'!$C$5:$L$26,10,FALSE)</f>
        <v>0</v>
      </c>
      <c r="G51" s="188" cm="1">
        <f t="array" ref="G51">SUMPRODUCT(('Data for SPECIATE'!$C$5:$C$26='PM Protocol'!G$1)*('Data for SPECIATE'!$M$1:$AZ$1='PM Protocol'!$A51)*'Data for SPECIATE'!$M$5:$AZ$26)/VLOOKUP(G$1,'Data for SPECIATE'!$C$5:$L$26,10,FALSE)</f>
        <v>0</v>
      </c>
      <c r="H51" s="188" cm="1">
        <f t="array" ref="H51">SUMPRODUCT(('Data for SPECIATE'!$C$5:$C$26='PM Protocol'!H$1)*('Data for SPECIATE'!$M$1:$AZ$1='PM Protocol'!$A51)*'Data for SPECIATE'!$M$5:$AZ$26)/VLOOKUP(H$1,'Data for SPECIATE'!$C$5:$L$26,10,FALSE)</f>
        <v>0</v>
      </c>
      <c r="I51" s="188" cm="1">
        <f t="array" ref="I51">SUMPRODUCT(('Data for SPECIATE'!$C$5:$C$26='PM Protocol'!I$1)*('Data for SPECIATE'!$M$1:$AZ$1='PM Protocol'!$A51)*'Data for SPECIATE'!$M$5:$AZ$26)/VLOOKUP(I$1,'Data for SPECIATE'!$C$5:$L$26,10,FALSE)</f>
        <v>0</v>
      </c>
      <c r="J51" s="188" cm="1">
        <f t="array" ref="J51">SUMPRODUCT(('Data for SPECIATE'!$C$5:$C$26='PM Protocol'!J$1)*('Data for SPECIATE'!$M$1:$AZ$1='PM Protocol'!$A51)*'Data for SPECIATE'!$M$5:$AZ$26)/VLOOKUP(J$1,'Data for SPECIATE'!$C$5:$L$26,10,FALSE)</f>
        <v>0</v>
      </c>
      <c r="K51" s="188" cm="1">
        <f t="array" ref="K51">SUMPRODUCT(('Data for SPECIATE'!$C$5:$C$26='PM Protocol'!K$1)*('Data for SPECIATE'!$M$1:$AZ$1='PM Protocol'!$A51)*'Data for SPECIATE'!$M$5:$AZ$26)/VLOOKUP(K$1,'Data for SPECIATE'!$C$5:$L$26,10,FALSE)</f>
        <v>0</v>
      </c>
      <c r="L51" s="188" cm="1">
        <f t="array" ref="L51">SUMPRODUCT(('Data for SPECIATE'!$C$5:$C$26='PM Protocol'!L$1)*('Data for SPECIATE'!$M$1:$AZ$1='PM Protocol'!$A51)*'Data for SPECIATE'!$M$5:$AZ$26)/VLOOKUP(L$1,'Data for SPECIATE'!$C$5:$L$26,10,FALSE)</f>
        <v>0</v>
      </c>
      <c r="M51" s="188" cm="1">
        <f t="array" ref="M51">SUMPRODUCT(('Data for SPECIATE'!$C$5:$C$26='PM Protocol'!M$1)*('Data for SPECIATE'!$M$1:$AZ$1='PM Protocol'!$A51)*'Data for SPECIATE'!$M$5:$AZ$26)/VLOOKUP(M$1,'Data for SPECIATE'!$C$5:$L$26,10,FALSE)</f>
        <v>0</v>
      </c>
      <c r="N51" s="188" cm="1">
        <f t="array" ref="N51">SUMPRODUCT(('Data for SPECIATE'!$C$5:$C$26='PM Protocol'!N$1)*('Data for SPECIATE'!$M$1:$AZ$1='PM Protocol'!$A51)*'Data for SPECIATE'!$M$5:$AZ$26)/VLOOKUP(N$1,'Data for SPECIATE'!$C$5:$L$26,10,FALSE)</f>
        <v>0</v>
      </c>
      <c r="O51" s="188" cm="1">
        <f t="array" ref="O51">SUMPRODUCT(('Data for SPECIATE'!$C$5:$C$26='PM Protocol'!O$1)*('Data for SPECIATE'!$M$1:$AZ$1='PM Protocol'!$A51)*'Data for SPECIATE'!$M$5:$AZ$26)/VLOOKUP(O$1,'Data for SPECIATE'!$C$5:$L$26,10,FALSE)</f>
        <v>0</v>
      </c>
      <c r="P51" s="188" cm="1">
        <f t="array" ref="P51">SUMPRODUCT(('Data for SPECIATE'!$C$5:$C$26='PM Protocol'!P$1)*('Data for SPECIATE'!$M$1:$AZ$1='PM Protocol'!$A51)*'Data for SPECIATE'!$M$5:$AZ$26)/VLOOKUP(P$1,'Data for SPECIATE'!$C$5:$L$26,10,FALSE)</f>
        <v>0</v>
      </c>
      <c r="Q51" s="188" cm="1">
        <f t="array" ref="Q51">SUMPRODUCT(('Data for SPECIATE'!$C$5:$C$26='PM Protocol'!Q$1)*('Data for SPECIATE'!$M$1:$AZ$1='PM Protocol'!$A51)*'Data for SPECIATE'!$M$5:$AZ$26)/VLOOKUP(Q$1,'Data for SPECIATE'!$C$5:$L$26,10,FALSE)</f>
        <v>0</v>
      </c>
      <c r="R51" s="188" cm="1">
        <f t="array" ref="R51">SUMPRODUCT(('Data for SPECIATE'!$C$5:$C$26='PM Protocol'!R$1)*('Data for SPECIATE'!$M$1:$AZ$1='PM Protocol'!$A51)*'Data for SPECIATE'!$M$5:$AZ$26)/SUMPRODUCT(('Data for SPECIATE'!$C$5:$C$26='PM Protocol'!R$1)*'Data for SPECIATE'!$M$5:$AZ$26)</f>
        <v>0</v>
      </c>
      <c r="S51" s="188" cm="1">
        <f t="array" ref="S51">SUMPRODUCT(('Data for SPECIATE'!$C$5:$C$26='PM Protocol'!S$1)*('Data for SPECIATE'!$M$1:$AZ$1='PM Protocol'!$A51)*'Data for SPECIATE'!$M$5:$AZ$26)/VLOOKUP(S$1,'Data for SPECIATE'!$C$5:$L$26,10,FALSE)</f>
        <v>0</v>
      </c>
      <c r="T51" s="188" cm="1">
        <f t="array" ref="T51">SUMPRODUCT(('Data for SPECIATE'!$C$5:$C$26='PM Protocol'!T$1)*('Data for SPECIATE'!$M$1:$AZ$1='PM Protocol'!$A51)*'Data for SPECIATE'!$M$5:$AZ$26)/VLOOKUP(T$1,'Data for SPECIATE'!$C$5:$L$26,10,FALSE)</f>
        <v>0</v>
      </c>
      <c r="U51" s="188" cm="1">
        <f t="array" ref="U51">SUMPRODUCT(('Data for SPECIATE'!$C$5:$C$26='PM Protocol'!U$1)*('Data for SPECIATE'!$M$1:$AZ$1='PM Protocol'!$A51)*'Data for SPECIATE'!$M$5:$AZ$26)/VLOOKUP(U$1,'Data for SPECIATE'!$C$5:$L$26,10,FALSE)</f>
        <v>0</v>
      </c>
      <c r="V51" s="188" cm="1">
        <f t="array" ref="V51">SUMPRODUCT(('Data for SPECIATE'!$C$5:$C$26='PM Protocol'!V$1)*('Data for SPECIATE'!$M$1:$AZ$1='PM Protocol'!$A51)*'Data for SPECIATE'!$M$5:$AZ$26)/VLOOKUP(V$1,'Data for SPECIATE'!$C$5:$L$26,10,FALSE)</f>
        <v>0</v>
      </c>
      <c r="W51" s="188" cm="1">
        <f t="array" ref="W51">SUMPRODUCT(('Data for SPECIATE'!$C$5:$C$26='PM Protocol'!W$1)*('Data for SPECIATE'!$M$1:$AZ$1='PM Protocol'!$A51)*'Data for SPECIATE'!$M$5:$AZ$26)/VLOOKUP(W$1,'Data for SPECIATE'!$C$5:$L$26,10,FALSE)</f>
        <v>0</v>
      </c>
      <c r="X51" s="188" cm="1">
        <f t="array" ref="X51">SUMPRODUCT(('Data for SPECIATE'!$C$5:$C$26='PM Protocol'!X$1)*('Data for SPECIATE'!$M$1:$AZ$1='PM Protocol'!$A51)*'Data for SPECIATE'!$M$5:$AZ$26)/VLOOKUP(X$1,'Data for SPECIATE'!$C$5:$L$26,10,FALSE)</f>
        <v>0</v>
      </c>
      <c r="Y51" s="188" cm="1">
        <f t="array" ref="Y51">SUMPRODUCT(('Data for SPECIATE'!$C$5:$C$26='PM Protocol'!Y$1)*('Data for SPECIATE'!$M$1:$AZ$1='PM Protocol'!$A51)*'Data for SPECIATE'!$M$5:$AZ$26)/VLOOKUP(Y$1,'Data for SPECIATE'!$C$5:$L$26,10,FALSE)</f>
        <v>0</v>
      </c>
      <c r="Z51" s="188" cm="1">
        <f t="array" ref="Z51">SUMPRODUCT(('Data for SPECIATE'!$C$5:$C$26='PM Protocol'!Z$1)*('Data for SPECIATE'!$M$1:$AZ$1='PM Protocol'!$A51)*'Data for SPECIATE'!$M$5:$AZ$26)/VLOOKUP(Z$1,'Data for SPECIATE'!$C$5:$L$26,10,FALSE)</f>
        <v>0</v>
      </c>
    </row>
    <row r="52" spans="1:26">
      <c r="A52">
        <v>3345</v>
      </c>
      <c r="B52" t="s">
        <v>20</v>
      </c>
      <c r="C52" s="191">
        <f>IFERROR(VLOOKUP(A52,Oxides!$A$2:$G$39,7,FALSE),0)</f>
        <v>0</v>
      </c>
      <c r="D52" t="s">
        <v>710</v>
      </c>
      <c r="E52" s="188" cm="1">
        <f t="array" ref="E52">SUMPRODUCT(('Data for SPECIATE'!$C$5:$C$26='PM Protocol'!E$1)*('Data for SPECIATE'!$M$1:$AZ$1='PM Protocol'!$A52)*'Data for SPECIATE'!$M$5:$AZ$26)/VLOOKUP(E$1,'Data for SPECIATE'!$C$5:$L$26,10,FALSE)</f>
        <v>0</v>
      </c>
      <c r="F52" s="188" cm="1">
        <f t="array" ref="F52">SUMPRODUCT(('Data for SPECIATE'!$C$5:$C$26='PM Protocol'!F$1)*('Data for SPECIATE'!$M$1:$AZ$1='PM Protocol'!$A52)*'Data for SPECIATE'!$M$5:$AZ$26)/VLOOKUP(F$1,'Data for SPECIATE'!$C$5:$L$26,10,FALSE)</f>
        <v>0</v>
      </c>
      <c r="G52" s="188" cm="1">
        <f t="array" ref="G52">SUMPRODUCT(('Data for SPECIATE'!$C$5:$C$26='PM Protocol'!G$1)*('Data for SPECIATE'!$M$1:$AZ$1='PM Protocol'!$A52)*'Data for SPECIATE'!$M$5:$AZ$26)/VLOOKUP(G$1,'Data for SPECIATE'!$C$5:$L$26,10,FALSE)</f>
        <v>0</v>
      </c>
      <c r="H52" s="188" cm="1">
        <f t="array" ref="H52">SUMPRODUCT(('Data for SPECIATE'!$C$5:$C$26='PM Protocol'!H$1)*('Data for SPECIATE'!$M$1:$AZ$1='PM Protocol'!$A52)*'Data for SPECIATE'!$M$5:$AZ$26)/VLOOKUP(H$1,'Data for SPECIATE'!$C$5:$L$26,10,FALSE)</f>
        <v>0</v>
      </c>
      <c r="I52" s="188" cm="1">
        <f t="array" ref="I52">SUMPRODUCT(('Data for SPECIATE'!$C$5:$C$26='PM Protocol'!I$1)*('Data for SPECIATE'!$M$1:$AZ$1='PM Protocol'!$A52)*'Data for SPECIATE'!$M$5:$AZ$26)/VLOOKUP(I$1,'Data for SPECIATE'!$C$5:$L$26,10,FALSE)</f>
        <v>0</v>
      </c>
      <c r="J52" s="188" cm="1">
        <f t="array" ref="J52">SUMPRODUCT(('Data for SPECIATE'!$C$5:$C$26='PM Protocol'!J$1)*('Data for SPECIATE'!$M$1:$AZ$1='PM Protocol'!$A52)*'Data for SPECIATE'!$M$5:$AZ$26)/VLOOKUP(J$1,'Data for SPECIATE'!$C$5:$L$26,10,FALSE)</f>
        <v>0</v>
      </c>
      <c r="K52" s="188" cm="1">
        <f t="array" ref="K52">SUMPRODUCT(('Data for SPECIATE'!$C$5:$C$26='PM Protocol'!K$1)*('Data for SPECIATE'!$M$1:$AZ$1='PM Protocol'!$A52)*'Data for SPECIATE'!$M$5:$AZ$26)/VLOOKUP(K$1,'Data for SPECIATE'!$C$5:$L$26,10,FALSE)</f>
        <v>0</v>
      </c>
      <c r="L52" s="188" cm="1">
        <f t="array" ref="L52">SUMPRODUCT(('Data for SPECIATE'!$C$5:$C$26='PM Protocol'!L$1)*('Data for SPECIATE'!$M$1:$AZ$1='PM Protocol'!$A52)*'Data for SPECIATE'!$M$5:$AZ$26)/VLOOKUP(L$1,'Data for SPECIATE'!$C$5:$L$26,10,FALSE)</f>
        <v>0</v>
      </c>
      <c r="M52" s="188" cm="1">
        <f t="array" ref="M52">SUMPRODUCT(('Data for SPECIATE'!$C$5:$C$26='PM Protocol'!M$1)*('Data for SPECIATE'!$M$1:$AZ$1='PM Protocol'!$A52)*'Data for SPECIATE'!$M$5:$AZ$26)/VLOOKUP(M$1,'Data for SPECIATE'!$C$5:$L$26,10,FALSE)</f>
        <v>0</v>
      </c>
      <c r="N52" s="188" cm="1">
        <f t="array" ref="N52">SUMPRODUCT(('Data for SPECIATE'!$C$5:$C$26='PM Protocol'!N$1)*('Data for SPECIATE'!$M$1:$AZ$1='PM Protocol'!$A52)*'Data for SPECIATE'!$M$5:$AZ$26)/VLOOKUP(N$1,'Data for SPECIATE'!$C$5:$L$26,10,FALSE)</f>
        <v>0</v>
      </c>
      <c r="O52" s="188" cm="1">
        <f t="array" ref="O52">SUMPRODUCT(('Data for SPECIATE'!$C$5:$C$26='PM Protocol'!O$1)*('Data for SPECIATE'!$M$1:$AZ$1='PM Protocol'!$A52)*'Data for SPECIATE'!$M$5:$AZ$26)/VLOOKUP(O$1,'Data for SPECIATE'!$C$5:$L$26,10,FALSE)</f>
        <v>0</v>
      </c>
      <c r="P52" s="188" cm="1">
        <f t="array" ref="P52">SUMPRODUCT(('Data for SPECIATE'!$C$5:$C$26='PM Protocol'!P$1)*('Data for SPECIATE'!$M$1:$AZ$1='PM Protocol'!$A52)*'Data for SPECIATE'!$M$5:$AZ$26)/VLOOKUP(P$1,'Data for SPECIATE'!$C$5:$L$26,10,FALSE)</f>
        <v>0</v>
      </c>
      <c r="Q52" s="188" cm="1">
        <f t="array" ref="Q52">SUMPRODUCT(('Data for SPECIATE'!$C$5:$C$26='PM Protocol'!Q$1)*('Data for SPECIATE'!$M$1:$AZ$1='PM Protocol'!$A52)*'Data for SPECIATE'!$M$5:$AZ$26)/VLOOKUP(Q$1,'Data for SPECIATE'!$C$5:$L$26,10,FALSE)</f>
        <v>0</v>
      </c>
      <c r="R52" s="188" cm="1">
        <f t="array" ref="R52">SUMPRODUCT(('Data for SPECIATE'!$C$5:$C$26='PM Protocol'!R$1)*('Data for SPECIATE'!$M$1:$AZ$1='PM Protocol'!$A52)*'Data for SPECIATE'!$M$5:$AZ$26)/SUMPRODUCT(('Data for SPECIATE'!$C$5:$C$26='PM Protocol'!R$1)*'Data for SPECIATE'!$M$5:$AZ$26)</f>
        <v>0</v>
      </c>
      <c r="S52" s="188" cm="1">
        <f t="array" ref="S52">SUMPRODUCT(('Data for SPECIATE'!$C$5:$C$26='PM Protocol'!S$1)*('Data for SPECIATE'!$M$1:$AZ$1='PM Protocol'!$A52)*'Data for SPECIATE'!$M$5:$AZ$26)/VLOOKUP(S$1,'Data for SPECIATE'!$C$5:$L$26,10,FALSE)</f>
        <v>0</v>
      </c>
      <c r="T52" s="188" cm="1">
        <f t="array" ref="T52">SUMPRODUCT(('Data for SPECIATE'!$C$5:$C$26='PM Protocol'!T$1)*('Data for SPECIATE'!$M$1:$AZ$1='PM Protocol'!$A52)*'Data for SPECIATE'!$M$5:$AZ$26)/VLOOKUP(T$1,'Data for SPECIATE'!$C$5:$L$26,10,FALSE)</f>
        <v>0</v>
      </c>
      <c r="U52" s="188" cm="1">
        <f t="array" ref="U52">SUMPRODUCT(('Data for SPECIATE'!$C$5:$C$26='PM Protocol'!U$1)*('Data for SPECIATE'!$M$1:$AZ$1='PM Protocol'!$A52)*'Data for SPECIATE'!$M$5:$AZ$26)/VLOOKUP(U$1,'Data for SPECIATE'!$C$5:$L$26,10,FALSE)</f>
        <v>0</v>
      </c>
      <c r="V52" s="188" cm="1">
        <f t="array" ref="V52">SUMPRODUCT(('Data for SPECIATE'!$C$5:$C$26='PM Protocol'!V$1)*('Data for SPECIATE'!$M$1:$AZ$1='PM Protocol'!$A52)*'Data for SPECIATE'!$M$5:$AZ$26)/VLOOKUP(V$1,'Data for SPECIATE'!$C$5:$L$26,10,FALSE)</f>
        <v>0</v>
      </c>
      <c r="W52" s="188" cm="1">
        <f t="array" ref="W52">SUMPRODUCT(('Data for SPECIATE'!$C$5:$C$26='PM Protocol'!W$1)*('Data for SPECIATE'!$M$1:$AZ$1='PM Protocol'!$A52)*'Data for SPECIATE'!$M$5:$AZ$26)/VLOOKUP(W$1,'Data for SPECIATE'!$C$5:$L$26,10,FALSE)</f>
        <v>0</v>
      </c>
      <c r="X52" s="188" cm="1">
        <f t="array" ref="X52">SUMPRODUCT(('Data for SPECIATE'!$C$5:$C$26='PM Protocol'!X$1)*('Data for SPECIATE'!$M$1:$AZ$1='PM Protocol'!$A52)*'Data for SPECIATE'!$M$5:$AZ$26)/VLOOKUP(X$1,'Data for SPECIATE'!$C$5:$L$26,10,FALSE)</f>
        <v>0</v>
      </c>
      <c r="Y52" s="188" cm="1">
        <f t="array" ref="Y52">SUMPRODUCT(('Data for SPECIATE'!$C$5:$C$26='PM Protocol'!Y$1)*('Data for SPECIATE'!$M$1:$AZ$1='PM Protocol'!$A52)*'Data for SPECIATE'!$M$5:$AZ$26)/VLOOKUP(Y$1,'Data for SPECIATE'!$C$5:$L$26,10,FALSE)</f>
        <v>0</v>
      </c>
      <c r="Z52" s="188" cm="1">
        <f t="array" ref="Z52">SUMPRODUCT(('Data for SPECIATE'!$C$5:$C$26='PM Protocol'!Z$1)*('Data for SPECIATE'!$M$1:$AZ$1='PM Protocol'!$A52)*'Data for SPECIATE'!$M$5:$AZ$26)/VLOOKUP(Z$1,'Data for SPECIATE'!$C$5:$L$26,10,FALSE)</f>
        <v>0</v>
      </c>
    </row>
    <row r="53" spans="1:26">
      <c r="A53">
        <v>3350</v>
      </c>
      <c r="B53" t="s">
        <v>20</v>
      </c>
      <c r="C53" s="191">
        <f>IFERROR(VLOOKUP(A53,Oxides!$A$2:$G$39,7,FALSE),0)</f>
        <v>0</v>
      </c>
      <c r="D53" t="s">
        <v>711</v>
      </c>
      <c r="E53" s="188" cm="1">
        <f t="array" ref="E53">SUMPRODUCT(('Data for SPECIATE'!$C$5:$C$26='PM Protocol'!E$1)*('Data for SPECIATE'!$M$1:$AZ$1='PM Protocol'!$A53)*'Data for SPECIATE'!$M$5:$AZ$26)/VLOOKUP(E$1,'Data for SPECIATE'!$C$5:$L$26,10,FALSE)</f>
        <v>0</v>
      </c>
      <c r="F53" s="188" cm="1">
        <f t="array" ref="F53">SUMPRODUCT(('Data for SPECIATE'!$C$5:$C$26='PM Protocol'!F$1)*('Data for SPECIATE'!$M$1:$AZ$1='PM Protocol'!$A53)*'Data for SPECIATE'!$M$5:$AZ$26)/VLOOKUP(F$1,'Data for SPECIATE'!$C$5:$L$26,10,FALSE)</f>
        <v>0</v>
      </c>
      <c r="G53" s="188" cm="1">
        <f t="array" ref="G53">SUMPRODUCT(('Data for SPECIATE'!$C$5:$C$26='PM Protocol'!G$1)*('Data for SPECIATE'!$M$1:$AZ$1='PM Protocol'!$A53)*'Data for SPECIATE'!$M$5:$AZ$26)/VLOOKUP(G$1,'Data for SPECIATE'!$C$5:$L$26,10,FALSE)</f>
        <v>0</v>
      </c>
      <c r="H53" s="188" cm="1">
        <f t="array" ref="H53">SUMPRODUCT(('Data for SPECIATE'!$C$5:$C$26='PM Protocol'!H$1)*('Data for SPECIATE'!$M$1:$AZ$1='PM Protocol'!$A53)*'Data for SPECIATE'!$M$5:$AZ$26)/VLOOKUP(H$1,'Data for SPECIATE'!$C$5:$L$26,10,FALSE)</f>
        <v>0</v>
      </c>
      <c r="I53" s="188" cm="1">
        <f t="array" ref="I53">SUMPRODUCT(('Data for SPECIATE'!$C$5:$C$26='PM Protocol'!I$1)*('Data for SPECIATE'!$M$1:$AZ$1='PM Protocol'!$A53)*'Data for SPECIATE'!$M$5:$AZ$26)/VLOOKUP(I$1,'Data for SPECIATE'!$C$5:$L$26,10,FALSE)</f>
        <v>0</v>
      </c>
      <c r="J53" s="188" cm="1">
        <f t="array" ref="J53">SUMPRODUCT(('Data for SPECIATE'!$C$5:$C$26='PM Protocol'!J$1)*('Data for SPECIATE'!$M$1:$AZ$1='PM Protocol'!$A53)*'Data for SPECIATE'!$M$5:$AZ$26)/VLOOKUP(J$1,'Data for SPECIATE'!$C$5:$L$26,10,FALSE)</f>
        <v>0</v>
      </c>
      <c r="K53" s="188" cm="1">
        <f t="array" ref="K53">SUMPRODUCT(('Data for SPECIATE'!$C$5:$C$26='PM Protocol'!K$1)*('Data for SPECIATE'!$M$1:$AZ$1='PM Protocol'!$A53)*'Data for SPECIATE'!$M$5:$AZ$26)/VLOOKUP(K$1,'Data for SPECIATE'!$C$5:$L$26,10,FALSE)</f>
        <v>0</v>
      </c>
      <c r="L53" s="188" cm="1">
        <f t="array" ref="L53">SUMPRODUCT(('Data for SPECIATE'!$C$5:$C$26='PM Protocol'!L$1)*('Data for SPECIATE'!$M$1:$AZ$1='PM Protocol'!$A53)*'Data for SPECIATE'!$M$5:$AZ$26)/VLOOKUP(L$1,'Data for SPECIATE'!$C$5:$L$26,10,FALSE)</f>
        <v>0</v>
      </c>
      <c r="M53" s="188" cm="1">
        <f t="array" ref="M53">SUMPRODUCT(('Data for SPECIATE'!$C$5:$C$26='PM Protocol'!M$1)*('Data for SPECIATE'!$M$1:$AZ$1='PM Protocol'!$A53)*'Data for SPECIATE'!$M$5:$AZ$26)/VLOOKUP(M$1,'Data for SPECIATE'!$C$5:$L$26,10,FALSE)</f>
        <v>0</v>
      </c>
      <c r="N53" s="188" cm="1">
        <f t="array" ref="N53">SUMPRODUCT(('Data for SPECIATE'!$C$5:$C$26='PM Protocol'!N$1)*('Data for SPECIATE'!$M$1:$AZ$1='PM Protocol'!$A53)*'Data for SPECIATE'!$M$5:$AZ$26)/VLOOKUP(N$1,'Data for SPECIATE'!$C$5:$L$26,10,FALSE)</f>
        <v>0</v>
      </c>
      <c r="O53" s="188" cm="1">
        <f t="array" ref="O53">SUMPRODUCT(('Data for SPECIATE'!$C$5:$C$26='PM Protocol'!O$1)*('Data for SPECIATE'!$M$1:$AZ$1='PM Protocol'!$A53)*'Data for SPECIATE'!$M$5:$AZ$26)/VLOOKUP(O$1,'Data for SPECIATE'!$C$5:$L$26,10,FALSE)</f>
        <v>0</v>
      </c>
      <c r="P53" s="188" cm="1">
        <f t="array" ref="P53">SUMPRODUCT(('Data for SPECIATE'!$C$5:$C$26='PM Protocol'!P$1)*('Data for SPECIATE'!$M$1:$AZ$1='PM Protocol'!$A53)*'Data for SPECIATE'!$M$5:$AZ$26)/VLOOKUP(P$1,'Data for SPECIATE'!$C$5:$L$26,10,FALSE)</f>
        <v>0</v>
      </c>
      <c r="Q53" s="188" cm="1">
        <f t="array" ref="Q53">SUMPRODUCT(('Data for SPECIATE'!$C$5:$C$26='PM Protocol'!Q$1)*('Data for SPECIATE'!$M$1:$AZ$1='PM Protocol'!$A53)*'Data for SPECIATE'!$M$5:$AZ$26)/VLOOKUP(Q$1,'Data for SPECIATE'!$C$5:$L$26,10,FALSE)</f>
        <v>0</v>
      </c>
      <c r="R53" s="188" cm="1">
        <f t="array" ref="R53">SUMPRODUCT(('Data for SPECIATE'!$C$5:$C$26='PM Protocol'!R$1)*('Data for SPECIATE'!$M$1:$AZ$1='PM Protocol'!$A53)*'Data for SPECIATE'!$M$5:$AZ$26)/SUMPRODUCT(('Data for SPECIATE'!$C$5:$C$26='PM Protocol'!R$1)*'Data for SPECIATE'!$M$5:$AZ$26)</f>
        <v>0</v>
      </c>
      <c r="S53" s="188" cm="1">
        <f t="array" ref="S53">SUMPRODUCT(('Data for SPECIATE'!$C$5:$C$26='PM Protocol'!S$1)*('Data for SPECIATE'!$M$1:$AZ$1='PM Protocol'!$A53)*'Data for SPECIATE'!$M$5:$AZ$26)/VLOOKUP(S$1,'Data for SPECIATE'!$C$5:$L$26,10,FALSE)</f>
        <v>0</v>
      </c>
      <c r="T53" s="188" cm="1">
        <f t="array" ref="T53">SUMPRODUCT(('Data for SPECIATE'!$C$5:$C$26='PM Protocol'!T$1)*('Data for SPECIATE'!$M$1:$AZ$1='PM Protocol'!$A53)*'Data for SPECIATE'!$M$5:$AZ$26)/VLOOKUP(T$1,'Data for SPECIATE'!$C$5:$L$26,10,FALSE)</f>
        <v>0</v>
      </c>
      <c r="U53" s="188" cm="1">
        <f t="array" ref="U53">SUMPRODUCT(('Data for SPECIATE'!$C$5:$C$26='PM Protocol'!U$1)*('Data for SPECIATE'!$M$1:$AZ$1='PM Protocol'!$A53)*'Data for SPECIATE'!$M$5:$AZ$26)/VLOOKUP(U$1,'Data for SPECIATE'!$C$5:$L$26,10,FALSE)</f>
        <v>0</v>
      </c>
      <c r="V53" s="188" cm="1">
        <f t="array" ref="V53">SUMPRODUCT(('Data for SPECIATE'!$C$5:$C$26='PM Protocol'!V$1)*('Data for SPECIATE'!$M$1:$AZ$1='PM Protocol'!$A53)*'Data for SPECIATE'!$M$5:$AZ$26)/VLOOKUP(V$1,'Data for SPECIATE'!$C$5:$L$26,10,FALSE)</f>
        <v>0</v>
      </c>
      <c r="W53" s="188" cm="1">
        <f t="array" ref="W53">SUMPRODUCT(('Data for SPECIATE'!$C$5:$C$26='PM Protocol'!W$1)*('Data for SPECIATE'!$M$1:$AZ$1='PM Protocol'!$A53)*'Data for SPECIATE'!$M$5:$AZ$26)/VLOOKUP(W$1,'Data for SPECIATE'!$C$5:$L$26,10,FALSE)</f>
        <v>0</v>
      </c>
      <c r="X53" s="188" cm="1">
        <f t="array" ref="X53">SUMPRODUCT(('Data for SPECIATE'!$C$5:$C$26='PM Protocol'!X$1)*('Data for SPECIATE'!$M$1:$AZ$1='PM Protocol'!$A53)*'Data for SPECIATE'!$M$5:$AZ$26)/VLOOKUP(X$1,'Data for SPECIATE'!$C$5:$L$26,10,FALSE)</f>
        <v>0</v>
      </c>
      <c r="Y53" s="188" cm="1">
        <f t="array" ref="Y53">SUMPRODUCT(('Data for SPECIATE'!$C$5:$C$26='PM Protocol'!Y$1)*('Data for SPECIATE'!$M$1:$AZ$1='PM Protocol'!$A53)*'Data for SPECIATE'!$M$5:$AZ$26)/VLOOKUP(Y$1,'Data for SPECIATE'!$C$5:$L$26,10,FALSE)</f>
        <v>0</v>
      </c>
      <c r="Z53" s="188" cm="1">
        <f t="array" ref="Z53">SUMPRODUCT(('Data for SPECIATE'!$C$5:$C$26='PM Protocol'!Z$1)*('Data for SPECIATE'!$M$1:$AZ$1='PM Protocol'!$A53)*'Data for SPECIATE'!$M$5:$AZ$26)/VLOOKUP(Z$1,'Data for SPECIATE'!$C$5:$L$26,10,FALSE)</f>
        <v>0</v>
      </c>
    </row>
    <row r="54" spans="1:26">
      <c r="A54">
        <v>3351</v>
      </c>
      <c r="B54" t="s">
        <v>20</v>
      </c>
      <c r="C54" s="191">
        <f>IFERROR(VLOOKUP(A54,Oxides!$A$2:$G$39,7,FALSE),0)</f>
        <v>0</v>
      </c>
      <c r="D54" t="s">
        <v>712</v>
      </c>
      <c r="E54" s="188" cm="1">
        <f t="array" ref="E54">SUMPRODUCT(('Data for SPECIATE'!$C$5:$C$26='PM Protocol'!E$1)*('Data for SPECIATE'!$M$1:$AZ$1='PM Protocol'!$A54)*'Data for SPECIATE'!$M$5:$AZ$26)/VLOOKUP(E$1,'Data for SPECIATE'!$C$5:$L$26,10,FALSE)</f>
        <v>0</v>
      </c>
      <c r="F54" s="188" cm="1">
        <f t="array" ref="F54">SUMPRODUCT(('Data for SPECIATE'!$C$5:$C$26='PM Protocol'!F$1)*('Data for SPECIATE'!$M$1:$AZ$1='PM Protocol'!$A54)*'Data for SPECIATE'!$M$5:$AZ$26)/VLOOKUP(F$1,'Data for SPECIATE'!$C$5:$L$26,10,FALSE)</f>
        <v>0</v>
      </c>
      <c r="G54" s="188" cm="1">
        <f t="array" ref="G54">SUMPRODUCT(('Data for SPECIATE'!$C$5:$C$26='PM Protocol'!G$1)*('Data for SPECIATE'!$M$1:$AZ$1='PM Protocol'!$A54)*'Data for SPECIATE'!$M$5:$AZ$26)/VLOOKUP(G$1,'Data for SPECIATE'!$C$5:$L$26,10,FALSE)</f>
        <v>0</v>
      </c>
      <c r="H54" s="188" cm="1">
        <f t="array" ref="H54">SUMPRODUCT(('Data for SPECIATE'!$C$5:$C$26='PM Protocol'!H$1)*('Data for SPECIATE'!$M$1:$AZ$1='PM Protocol'!$A54)*'Data for SPECIATE'!$M$5:$AZ$26)/VLOOKUP(H$1,'Data for SPECIATE'!$C$5:$L$26,10,FALSE)</f>
        <v>0</v>
      </c>
      <c r="I54" s="188" cm="1">
        <f t="array" ref="I54">SUMPRODUCT(('Data for SPECIATE'!$C$5:$C$26='PM Protocol'!I$1)*('Data for SPECIATE'!$M$1:$AZ$1='PM Protocol'!$A54)*'Data for SPECIATE'!$M$5:$AZ$26)/VLOOKUP(I$1,'Data for SPECIATE'!$C$5:$L$26,10,FALSE)</f>
        <v>0</v>
      </c>
      <c r="J54" s="188" cm="1">
        <f t="array" ref="J54">SUMPRODUCT(('Data for SPECIATE'!$C$5:$C$26='PM Protocol'!J$1)*('Data for SPECIATE'!$M$1:$AZ$1='PM Protocol'!$A54)*'Data for SPECIATE'!$M$5:$AZ$26)/VLOOKUP(J$1,'Data for SPECIATE'!$C$5:$L$26,10,FALSE)</f>
        <v>0</v>
      </c>
      <c r="K54" s="188" cm="1">
        <f t="array" ref="K54">SUMPRODUCT(('Data for SPECIATE'!$C$5:$C$26='PM Protocol'!K$1)*('Data for SPECIATE'!$M$1:$AZ$1='PM Protocol'!$A54)*'Data for SPECIATE'!$M$5:$AZ$26)/VLOOKUP(K$1,'Data for SPECIATE'!$C$5:$L$26,10,FALSE)</f>
        <v>0</v>
      </c>
      <c r="L54" s="188" cm="1">
        <f t="array" ref="L54">SUMPRODUCT(('Data for SPECIATE'!$C$5:$C$26='PM Protocol'!L$1)*('Data for SPECIATE'!$M$1:$AZ$1='PM Protocol'!$A54)*'Data for SPECIATE'!$M$5:$AZ$26)/VLOOKUP(L$1,'Data for SPECIATE'!$C$5:$L$26,10,FALSE)</f>
        <v>0</v>
      </c>
      <c r="M54" s="188" cm="1">
        <f t="array" ref="M54">SUMPRODUCT(('Data for SPECIATE'!$C$5:$C$26='PM Protocol'!M$1)*('Data for SPECIATE'!$M$1:$AZ$1='PM Protocol'!$A54)*'Data for SPECIATE'!$M$5:$AZ$26)/VLOOKUP(M$1,'Data for SPECIATE'!$C$5:$L$26,10,FALSE)</f>
        <v>0</v>
      </c>
      <c r="N54" s="188" cm="1">
        <f t="array" ref="N54">SUMPRODUCT(('Data for SPECIATE'!$C$5:$C$26='PM Protocol'!N$1)*('Data for SPECIATE'!$M$1:$AZ$1='PM Protocol'!$A54)*'Data for SPECIATE'!$M$5:$AZ$26)/VLOOKUP(N$1,'Data for SPECIATE'!$C$5:$L$26,10,FALSE)</f>
        <v>0</v>
      </c>
      <c r="O54" s="188" cm="1">
        <f t="array" ref="O54">SUMPRODUCT(('Data for SPECIATE'!$C$5:$C$26='PM Protocol'!O$1)*('Data for SPECIATE'!$M$1:$AZ$1='PM Protocol'!$A54)*'Data for SPECIATE'!$M$5:$AZ$26)/VLOOKUP(O$1,'Data for SPECIATE'!$C$5:$L$26,10,FALSE)</f>
        <v>0</v>
      </c>
      <c r="P54" s="188" cm="1">
        <f t="array" ref="P54">SUMPRODUCT(('Data for SPECIATE'!$C$5:$C$26='PM Protocol'!P$1)*('Data for SPECIATE'!$M$1:$AZ$1='PM Protocol'!$A54)*'Data for SPECIATE'!$M$5:$AZ$26)/VLOOKUP(P$1,'Data for SPECIATE'!$C$5:$L$26,10,FALSE)</f>
        <v>0</v>
      </c>
      <c r="Q54" s="188" cm="1">
        <f t="array" ref="Q54">SUMPRODUCT(('Data for SPECIATE'!$C$5:$C$26='PM Protocol'!Q$1)*('Data for SPECIATE'!$M$1:$AZ$1='PM Protocol'!$A54)*'Data for SPECIATE'!$M$5:$AZ$26)/VLOOKUP(Q$1,'Data for SPECIATE'!$C$5:$L$26,10,FALSE)</f>
        <v>0</v>
      </c>
      <c r="R54" s="188" cm="1">
        <f t="array" ref="R54">SUMPRODUCT(('Data for SPECIATE'!$C$5:$C$26='PM Protocol'!R$1)*('Data for SPECIATE'!$M$1:$AZ$1='PM Protocol'!$A54)*'Data for SPECIATE'!$M$5:$AZ$26)/SUMPRODUCT(('Data for SPECIATE'!$C$5:$C$26='PM Protocol'!R$1)*'Data for SPECIATE'!$M$5:$AZ$26)</f>
        <v>0</v>
      </c>
      <c r="S54" s="188" cm="1">
        <f t="array" ref="S54">SUMPRODUCT(('Data for SPECIATE'!$C$5:$C$26='PM Protocol'!S$1)*('Data for SPECIATE'!$M$1:$AZ$1='PM Protocol'!$A54)*'Data for SPECIATE'!$M$5:$AZ$26)/VLOOKUP(S$1,'Data for SPECIATE'!$C$5:$L$26,10,FALSE)</f>
        <v>0</v>
      </c>
      <c r="T54" s="188" cm="1">
        <f t="array" ref="T54">SUMPRODUCT(('Data for SPECIATE'!$C$5:$C$26='PM Protocol'!T$1)*('Data for SPECIATE'!$M$1:$AZ$1='PM Protocol'!$A54)*'Data for SPECIATE'!$M$5:$AZ$26)/VLOOKUP(T$1,'Data for SPECIATE'!$C$5:$L$26,10,FALSE)</f>
        <v>0</v>
      </c>
      <c r="U54" s="188" cm="1">
        <f t="array" ref="U54">SUMPRODUCT(('Data for SPECIATE'!$C$5:$C$26='PM Protocol'!U$1)*('Data for SPECIATE'!$M$1:$AZ$1='PM Protocol'!$A54)*'Data for SPECIATE'!$M$5:$AZ$26)/VLOOKUP(U$1,'Data for SPECIATE'!$C$5:$L$26,10,FALSE)</f>
        <v>0</v>
      </c>
      <c r="V54" s="188" cm="1">
        <f t="array" ref="V54">SUMPRODUCT(('Data for SPECIATE'!$C$5:$C$26='PM Protocol'!V$1)*('Data for SPECIATE'!$M$1:$AZ$1='PM Protocol'!$A54)*'Data for SPECIATE'!$M$5:$AZ$26)/VLOOKUP(V$1,'Data for SPECIATE'!$C$5:$L$26,10,FALSE)</f>
        <v>0</v>
      </c>
      <c r="W54" s="188" cm="1">
        <f t="array" ref="W54">SUMPRODUCT(('Data for SPECIATE'!$C$5:$C$26='PM Protocol'!W$1)*('Data for SPECIATE'!$M$1:$AZ$1='PM Protocol'!$A54)*'Data for SPECIATE'!$M$5:$AZ$26)/VLOOKUP(W$1,'Data for SPECIATE'!$C$5:$L$26,10,FALSE)</f>
        <v>0</v>
      </c>
      <c r="X54" s="188" cm="1">
        <f t="array" ref="X54">SUMPRODUCT(('Data for SPECIATE'!$C$5:$C$26='PM Protocol'!X$1)*('Data for SPECIATE'!$M$1:$AZ$1='PM Protocol'!$A54)*'Data for SPECIATE'!$M$5:$AZ$26)/VLOOKUP(X$1,'Data for SPECIATE'!$C$5:$L$26,10,FALSE)</f>
        <v>0</v>
      </c>
      <c r="Y54" s="188" cm="1">
        <f t="array" ref="Y54">SUMPRODUCT(('Data for SPECIATE'!$C$5:$C$26='PM Protocol'!Y$1)*('Data for SPECIATE'!$M$1:$AZ$1='PM Protocol'!$A54)*'Data for SPECIATE'!$M$5:$AZ$26)/VLOOKUP(Y$1,'Data for SPECIATE'!$C$5:$L$26,10,FALSE)</f>
        <v>0</v>
      </c>
      <c r="Z54" s="188" cm="1">
        <f t="array" ref="Z54">SUMPRODUCT(('Data for SPECIATE'!$C$5:$C$26='PM Protocol'!Z$1)*('Data for SPECIATE'!$M$1:$AZ$1='PM Protocol'!$A54)*'Data for SPECIATE'!$M$5:$AZ$26)/VLOOKUP(Z$1,'Data for SPECIATE'!$C$5:$L$26,10,FALSE)</f>
        <v>0</v>
      </c>
    </row>
    <row r="55" spans="1:26">
      <c r="A55">
        <v>3352</v>
      </c>
      <c r="B55" t="s">
        <v>20</v>
      </c>
      <c r="C55" s="191">
        <f>IFERROR(VLOOKUP(A55,Oxides!$A$2:$G$39,7,FALSE),0)</f>
        <v>0</v>
      </c>
      <c r="D55" t="s">
        <v>713</v>
      </c>
      <c r="E55" s="188" cm="1">
        <f t="array" ref="E55">SUMPRODUCT(('Data for SPECIATE'!$C$5:$C$26='PM Protocol'!E$1)*('Data for SPECIATE'!$M$1:$AZ$1='PM Protocol'!$A55)*'Data for SPECIATE'!$M$5:$AZ$26)/VLOOKUP(E$1,'Data for SPECIATE'!$C$5:$L$26,10,FALSE)</f>
        <v>0</v>
      </c>
      <c r="F55" s="188" cm="1">
        <f t="array" ref="F55">SUMPRODUCT(('Data for SPECIATE'!$C$5:$C$26='PM Protocol'!F$1)*('Data for SPECIATE'!$M$1:$AZ$1='PM Protocol'!$A55)*'Data for SPECIATE'!$M$5:$AZ$26)/VLOOKUP(F$1,'Data for SPECIATE'!$C$5:$L$26,10,FALSE)</f>
        <v>0</v>
      </c>
      <c r="G55" s="188" cm="1">
        <f t="array" ref="G55">SUMPRODUCT(('Data for SPECIATE'!$C$5:$C$26='PM Protocol'!G$1)*('Data for SPECIATE'!$M$1:$AZ$1='PM Protocol'!$A55)*'Data for SPECIATE'!$M$5:$AZ$26)/VLOOKUP(G$1,'Data for SPECIATE'!$C$5:$L$26,10,FALSE)</f>
        <v>0</v>
      </c>
      <c r="H55" s="188" cm="1">
        <f t="array" ref="H55">SUMPRODUCT(('Data for SPECIATE'!$C$5:$C$26='PM Protocol'!H$1)*('Data for SPECIATE'!$M$1:$AZ$1='PM Protocol'!$A55)*'Data for SPECIATE'!$M$5:$AZ$26)/VLOOKUP(H$1,'Data for SPECIATE'!$C$5:$L$26,10,FALSE)</f>
        <v>0</v>
      </c>
      <c r="I55" s="188" cm="1">
        <f t="array" ref="I55">SUMPRODUCT(('Data for SPECIATE'!$C$5:$C$26='PM Protocol'!I$1)*('Data for SPECIATE'!$M$1:$AZ$1='PM Protocol'!$A55)*'Data for SPECIATE'!$M$5:$AZ$26)/VLOOKUP(I$1,'Data for SPECIATE'!$C$5:$L$26,10,FALSE)</f>
        <v>0</v>
      </c>
      <c r="J55" s="188" cm="1">
        <f t="array" ref="J55">SUMPRODUCT(('Data for SPECIATE'!$C$5:$C$26='PM Protocol'!J$1)*('Data for SPECIATE'!$M$1:$AZ$1='PM Protocol'!$A55)*'Data for SPECIATE'!$M$5:$AZ$26)/VLOOKUP(J$1,'Data for SPECIATE'!$C$5:$L$26,10,FALSE)</f>
        <v>0</v>
      </c>
      <c r="K55" s="188" cm="1">
        <f t="array" ref="K55">SUMPRODUCT(('Data for SPECIATE'!$C$5:$C$26='PM Protocol'!K$1)*('Data for SPECIATE'!$M$1:$AZ$1='PM Protocol'!$A55)*'Data for SPECIATE'!$M$5:$AZ$26)/VLOOKUP(K$1,'Data for SPECIATE'!$C$5:$L$26,10,FALSE)</f>
        <v>0</v>
      </c>
      <c r="L55" s="188" cm="1">
        <f t="array" ref="L55">SUMPRODUCT(('Data for SPECIATE'!$C$5:$C$26='PM Protocol'!L$1)*('Data for SPECIATE'!$M$1:$AZ$1='PM Protocol'!$A55)*'Data for SPECIATE'!$M$5:$AZ$26)/VLOOKUP(L$1,'Data for SPECIATE'!$C$5:$L$26,10,FALSE)</f>
        <v>0</v>
      </c>
      <c r="M55" s="188" cm="1">
        <f t="array" ref="M55">SUMPRODUCT(('Data for SPECIATE'!$C$5:$C$26='PM Protocol'!M$1)*('Data for SPECIATE'!$M$1:$AZ$1='PM Protocol'!$A55)*'Data for SPECIATE'!$M$5:$AZ$26)/VLOOKUP(M$1,'Data for SPECIATE'!$C$5:$L$26,10,FALSE)</f>
        <v>0</v>
      </c>
      <c r="N55" s="188" cm="1">
        <f t="array" ref="N55">SUMPRODUCT(('Data for SPECIATE'!$C$5:$C$26='PM Protocol'!N$1)*('Data for SPECIATE'!$M$1:$AZ$1='PM Protocol'!$A55)*'Data for SPECIATE'!$M$5:$AZ$26)/VLOOKUP(N$1,'Data for SPECIATE'!$C$5:$L$26,10,FALSE)</f>
        <v>0</v>
      </c>
      <c r="O55" s="188" cm="1">
        <f t="array" ref="O55">SUMPRODUCT(('Data for SPECIATE'!$C$5:$C$26='PM Protocol'!O$1)*('Data for SPECIATE'!$M$1:$AZ$1='PM Protocol'!$A55)*'Data for SPECIATE'!$M$5:$AZ$26)/VLOOKUP(O$1,'Data for SPECIATE'!$C$5:$L$26,10,FALSE)</f>
        <v>0</v>
      </c>
      <c r="P55" s="188" cm="1">
        <f t="array" ref="P55">SUMPRODUCT(('Data for SPECIATE'!$C$5:$C$26='PM Protocol'!P$1)*('Data for SPECIATE'!$M$1:$AZ$1='PM Protocol'!$A55)*'Data for SPECIATE'!$M$5:$AZ$26)/VLOOKUP(P$1,'Data for SPECIATE'!$C$5:$L$26,10,FALSE)</f>
        <v>0</v>
      </c>
      <c r="Q55" s="188" cm="1">
        <f t="array" ref="Q55">SUMPRODUCT(('Data for SPECIATE'!$C$5:$C$26='PM Protocol'!Q$1)*('Data for SPECIATE'!$M$1:$AZ$1='PM Protocol'!$A55)*'Data for SPECIATE'!$M$5:$AZ$26)/VLOOKUP(Q$1,'Data for SPECIATE'!$C$5:$L$26,10,FALSE)</f>
        <v>0</v>
      </c>
      <c r="R55" s="188" cm="1">
        <f t="array" ref="R55">SUMPRODUCT(('Data for SPECIATE'!$C$5:$C$26='PM Protocol'!R$1)*('Data for SPECIATE'!$M$1:$AZ$1='PM Protocol'!$A55)*'Data for SPECIATE'!$M$5:$AZ$26)/SUMPRODUCT(('Data for SPECIATE'!$C$5:$C$26='PM Protocol'!R$1)*'Data for SPECIATE'!$M$5:$AZ$26)</f>
        <v>0</v>
      </c>
      <c r="S55" s="188" cm="1">
        <f t="array" ref="S55">SUMPRODUCT(('Data for SPECIATE'!$C$5:$C$26='PM Protocol'!S$1)*('Data for SPECIATE'!$M$1:$AZ$1='PM Protocol'!$A55)*'Data for SPECIATE'!$M$5:$AZ$26)/VLOOKUP(S$1,'Data for SPECIATE'!$C$5:$L$26,10,FALSE)</f>
        <v>0</v>
      </c>
      <c r="T55" s="188" cm="1">
        <f t="array" ref="T55">SUMPRODUCT(('Data for SPECIATE'!$C$5:$C$26='PM Protocol'!T$1)*('Data for SPECIATE'!$M$1:$AZ$1='PM Protocol'!$A55)*'Data for SPECIATE'!$M$5:$AZ$26)/VLOOKUP(T$1,'Data for SPECIATE'!$C$5:$L$26,10,FALSE)</f>
        <v>0</v>
      </c>
      <c r="U55" s="188" cm="1">
        <f t="array" ref="U55">SUMPRODUCT(('Data for SPECIATE'!$C$5:$C$26='PM Protocol'!U$1)*('Data for SPECIATE'!$M$1:$AZ$1='PM Protocol'!$A55)*'Data for SPECIATE'!$M$5:$AZ$26)/VLOOKUP(U$1,'Data for SPECIATE'!$C$5:$L$26,10,FALSE)</f>
        <v>0</v>
      </c>
      <c r="V55" s="188" cm="1">
        <f t="array" ref="V55">SUMPRODUCT(('Data for SPECIATE'!$C$5:$C$26='PM Protocol'!V$1)*('Data for SPECIATE'!$M$1:$AZ$1='PM Protocol'!$A55)*'Data for SPECIATE'!$M$5:$AZ$26)/VLOOKUP(V$1,'Data for SPECIATE'!$C$5:$L$26,10,FALSE)</f>
        <v>0</v>
      </c>
      <c r="W55" s="188" cm="1">
        <f t="array" ref="W55">SUMPRODUCT(('Data for SPECIATE'!$C$5:$C$26='PM Protocol'!W$1)*('Data for SPECIATE'!$M$1:$AZ$1='PM Protocol'!$A55)*'Data for SPECIATE'!$M$5:$AZ$26)/VLOOKUP(W$1,'Data for SPECIATE'!$C$5:$L$26,10,FALSE)</f>
        <v>0</v>
      </c>
      <c r="X55" s="188" cm="1">
        <f t="array" ref="X55">SUMPRODUCT(('Data for SPECIATE'!$C$5:$C$26='PM Protocol'!X$1)*('Data for SPECIATE'!$M$1:$AZ$1='PM Protocol'!$A55)*'Data for SPECIATE'!$M$5:$AZ$26)/VLOOKUP(X$1,'Data for SPECIATE'!$C$5:$L$26,10,FALSE)</f>
        <v>0</v>
      </c>
      <c r="Y55" s="188" cm="1">
        <f t="array" ref="Y55">SUMPRODUCT(('Data for SPECIATE'!$C$5:$C$26='PM Protocol'!Y$1)*('Data for SPECIATE'!$M$1:$AZ$1='PM Protocol'!$A55)*'Data for SPECIATE'!$M$5:$AZ$26)/VLOOKUP(Y$1,'Data for SPECIATE'!$C$5:$L$26,10,FALSE)</f>
        <v>0</v>
      </c>
      <c r="Z55" s="188" cm="1">
        <f t="array" ref="Z55">SUMPRODUCT(('Data for SPECIATE'!$C$5:$C$26='PM Protocol'!Z$1)*('Data for SPECIATE'!$M$1:$AZ$1='PM Protocol'!$A55)*'Data for SPECIATE'!$M$5:$AZ$26)/VLOOKUP(Z$1,'Data for SPECIATE'!$C$5:$L$26,10,FALSE)</f>
        <v>0</v>
      </c>
    </row>
    <row r="56" spans="1:26">
      <c r="A56">
        <v>3353</v>
      </c>
      <c r="B56" t="s">
        <v>20</v>
      </c>
      <c r="C56" s="191">
        <f>IFERROR(VLOOKUP(A56,Oxides!$A$2:$G$39,7,FALSE),0)</f>
        <v>0</v>
      </c>
      <c r="D56" t="s">
        <v>714</v>
      </c>
      <c r="E56" s="188" cm="1">
        <f t="array" ref="E56">SUMPRODUCT(('Data for SPECIATE'!$C$5:$C$26='PM Protocol'!E$1)*('Data for SPECIATE'!$M$1:$AZ$1='PM Protocol'!$A56)*'Data for SPECIATE'!$M$5:$AZ$26)/VLOOKUP(E$1,'Data for SPECIATE'!$C$5:$L$26,10,FALSE)</f>
        <v>0</v>
      </c>
      <c r="F56" s="188" cm="1">
        <f t="array" ref="F56">SUMPRODUCT(('Data for SPECIATE'!$C$5:$C$26='PM Protocol'!F$1)*('Data for SPECIATE'!$M$1:$AZ$1='PM Protocol'!$A56)*'Data for SPECIATE'!$M$5:$AZ$26)/VLOOKUP(F$1,'Data for SPECIATE'!$C$5:$L$26,10,FALSE)</f>
        <v>0</v>
      </c>
      <c r="G56" s="188" cm="1">
        <f t="array" ref="G56">SUMPRODUCT(('Data for SPECIATE'!$C$5:$C$26='PM Protocol'!G$1)*('Data for SPECIATE'!$M$1:$AZ$1='PM Protocol'!$A56)*'Data for SPECIATE'!$M$5:$AZ$26)/VLOOKUP(G$1,'Data for SPECIATE'!$C$5:$L$26,10,FALSE)</f>
        <v>0</v>
      </c>
      <c r="H56" s="188" cm="1">
        <f t="array" ref="H56">SUMPRODUCT(('Data for SPECIATE'!$C$5:$C$26='PM Protocol'!H$1)*('Data for SPECIATE'!$M$1:$AZ$1='PM Protocol'!$A56)*'Data for SPECIATE'!$M$5:$AZ$26)/VLOOKUP(H$1,'Data for SPECIATE'!$C$5:$L$26,10,FALSE)</f>
        <v>0</v>
      </c>
      <c r="I56" s="188" cm="1">
        <f t="array" ref="I56">SUMPRODUCT(('Data for SPECIATE'!$C$5:$C$26='PM Protocol'!I$1)*('Data for SPECIATE'!$M$1:$AZ$1='PM Protocol'!$A56)*'Data for SPECIATE'!$M$5:$AZ$26)/VLOOKUP(I$1,'Data for SPECIATE'!$C$5:$L$26,10,FALSE)</f>
        <v>0</v>
      </c>
      <c r="J56" s="188" cm="1">
        <f t="array" ref="J56">SUMPRODUCT(('Data for SPECIATE'!$C$5:$C$26='PM Protocol'!J$1)*('Data for SPECIATE'!$M$1:$AZ$1='PM Protocol'!$A56)*'Data for SPECIATE'!$M$5:$AZ$26)/VLOOKUP(J$1,'Data for SPECIATE'!$C$5:$L$26,10,FALSE)</f>
        <v>0</v>
      </c>
      <c r="K56" s="188" cm="1">
        <f t="array" ref="K56">SUMPRODUCT(('Data for SPECIATE'!$C$5:$C$26='PM Protocol'!K$1)*('Data for SPECIATE'!$M$1:$AZ$1='PM Protocol'!$A56)*'Data for SPECIATE'!$M$5:$AZ$26)/VLOOKUP(K$1,'Data for SPECIATE'!$C$5:$L$26,10,FALSE)</f>
        <v>0</v>
      </c>
      <c r="L56" s="188" cm="1">
        <f t="array" ref="L56">SUMPRODUCT(('Data for SPECIATE'!$C$5:$C$26='PM Protocol'!L$1)*('Data for SPECIATE'!$M$1:$AZ$1='PM Protocol'!$A56)*'Data for SPECIATE'!$M$5:$AZ$26)/VLOOKUP(L$1,'Data for SPECIATE'!$C$5:$L$26,10,FALSE)</f>
        <v>0</v>
      </c>
      <c r="M56" s="188" cm="1">
        <f t="array" ref="M56">SUMPRODUCT(('Data for SPECIATE'!$C$5:$C$26='PM Protocol'!M$1)*('Data for SPECIATE'!$M$1:$AZ$1='PM Protocol'!$A56)*'Data for SPECIATE'!$M$5:$AZ$26)/VLOOKUP(M$1,'Data for SPECIATE'!$C$5:$L$26,10,FALSE)</f>
        <v>0</v>
      </c>
      <c r="N56" s="188" cm="1">
        <f t="array" ref="N56">SUMPRODUCT(('Data for SPECIATE'!$C$5:$C$26='PM Protocol'!N$1)*('Data for SPECIATE'!$M$1:$AZ$1='PM Protocol'!$A56)*'Data for SPECIATE'!$M$5:$AZ$26)/VLOOKUP(N$1,'Data for SPECIATE'!$C$5:$L$26,10,FALSE)</f>
        <v>0</v>
      </c>
      <c r="O56" s="188" cm="1">
        <f t="array" ref="O56">SUMPRODUCT(('Data for SPECIATE'!$C$5:$C$26='PM Protocol'!O$1)*('Data for SPECIATE'!$M$1:$AZ$1='PM Protocol'!$A56)*'Data for SPECIATE'!$M$5:$AZ$26)/VLOOKUP(O$1,'Data for SPECIATE'!$C$5:$L$26,10,FALSE)</f>
        <v>0</v>
      </c>
      <c r="P56" s="188" cm="1">
        <f t="array" ref="P56">SUMPRODUCT(('Data for SPECIATE'!$C$5:$C$26='PM Protocol'!P$1)*('Data for SPECIATE'!$M$1:$AZ$1='PM Protocol'!$A56)*'Data for SPECIATE'!$M$5:$AZ$26)/VLOOKUP(P$1,'Data for SPECIATE'!$C$5:$L$26,10,FALSE)</f>
        <v>0</v>
      </c>
      <c r="Q56" s="188" cm="1">
        <f t="array" ref="Q56">SUMPRODUCT(('Data for SPECIATE'!$C$5:$C$26='PM Protocol'!Q$1)*('Data for SPECIATE'!$M$1:$AZ$1='PM Protocol'!$A56)*'Data for SPECIATE'!$M$5:$AZ$26)/VLOOKUP(Q$1,'Data for SPECIATE'!$C$5:$L$26,10,FALSE)</f>
        <v>0</v>
      </c>
      <c r="R56" s="188" cm="1">
        <f t="array" ref="R56">SUMPRODUCT(('Data for SPECIATE'!$C$5:$C$26='PM Protocol'!R$1)*('Data for SPECIATE'!$M$1:$AZ$1='PM Protocol'!$A56)*'Data for SPECIATE'!$M$5:$AZ$26)/SUMPRODUCT(('Data for SPECIATE'!$C$5:$C$26='PM Protocol'!R$1)*'Data for SPECIATE'!$M$5:$AZ$26)</f>
        <v>0</v>
      </c>
      <c r="S56" s="188" cm="1">
        <f t="array" ref="S56">SUMPRODUCT(('Data for SPECIATE'!$C$5:$C$26='PM Protocol'!S$1)*('Data for SPECIATE'!$M$1:$AZ$1='PM Protocol'!$A56)*'Data for SPECIATE'!$M$5:$AZ$26)/VLOOKUP(S$1,'Data for SPECIATE'!$C$5:$L$26,10,FALSE)</f>
        <v>0</v>
      </c>
      <c r="T56" s="188" cm="1">
        <f t="array" ref="T56">SUMPRODUCT(('Data for SPECIATE'!$C$5:$C$26='PM Protocol'!T$1)*('Data for SPECIATE'!$M$1:$AZ$1='PM Protocol'!$A56)*'Data for SPECIATE'!$M$5:$AZ$26)/VLOOKUP(T$1,'Data for SPECIATE'!$C$5:$L$26,10,FALSE)</f>
        <v>0</v>
      </c>
      <c r="U56" s="188" cm="1">
        <f t="array" ref="U56">SUMPRODUCT(('Data for SPECIATE'!$C$5:$C$26='PM Protocol'!U$1)*('Data for SPECIATE'!$M$1:$AZ$1='PM Protocol'!$A56)*'Data for SPECIATE'!$M$5:$AZ$26)/VLOOKUP(U$1,'Data for SPECIATE'!$C$5:$L$26,10,FALSE)</f>
        <v>0</v>
      </c>
      <c r="V56" s="188" cm="1">
        <f t="array" ref="V56">SUMPRODUCT(('Data for SPECIATE'!$C$5:$C$26='PM Protocol'!V$1)*('Data for SPECIATE'!$M$1:$AZ$1='PM Protocol'!$A56)*'Data for SPECIATE'!$M$5:$AZ$26)/VLOOKUP(V$1,'Data for SPECIATE'!$C$5:$L$26,10,FALSE)</f>
        <v>0</v>
      </c>
      <c r="W56" s="188" cm="1">
        <f t="array" ref="W56">SUMPRODUCT(('Data for SPECIATE'!$C$5:$C$26='PM Protocol'!W$1)*('Data for SPECIATE'!$M$1:$AZ$1='PM Protocol'!$A56)*'Data for SPECIATE'!$M$5:$AZ$26)/VLOOKUP(W$1,'Data for SPECIATE'!$C$5:$L$26,10,FALSE)</f>
        <v>0</v>
      </c>
      <c r="X56" s="188" cm="1">
        <f t="array" ref="X56">SUMPRODUCT(('Data for SPECIATE'!$C$5:$C$26='PM Protocol'!X$1)*('Data for SPECIATE'!$M$1:$AZ$1='PM Protocol'!$A56)*'Data for SPECIATE'!$M$5:$AZ$26)/VLOOKUP(X$1,'Data for SPECIATE'!$C$5:$L$26,10,FALSE)</f>
        <v>0</v>
      </c>
      <c r="Y56" s="188" cm="1">
        <f t="array" ref="Y56">SUMPRODUCT(('Data for SPECIATE'!$C$5:$C$26='PM Protocol'!Y$1)*('Data for SPECIATE'!$M$1:$AZ$1='PM Protocol'!$A56)*'Data for SPECIATE'!$M$5:$AZ$26)/VLOOKUP(Y$1,'Data for SPECIATE'!$C$5:$L$26,10,FALSE)</f>
        <v>0</v>
      </c>
      <c r="Z56" s="188" cm="1">
        <f t="array" ref="Z56">SUMPRODUCT(('Data for SPECIATE'!$C$5:$C$26='PM Protocol'!Z$1)*('Data for SPECIATE'!$M$1:$AZ$1='PM Protocol'!$A56)*'Data for SPECIATE'!$M$5:$AZ$26)/VLOOKUP(Z$1,'Data for SPECIATE'!$C$5:$L$26,10,FALSE)</f>
        <v>0</v>
      </c>
    </row>
    <row r="57" spans="1:26">
      <c r="A57">
        <v>3354</v>
      </c>
      <c r="B57" t="s">
        <v>20</v>
      </c>
      <c r="C57" s="191">
        <f>IFERROR(VLOOKUP(A57,Oxides!$A$2:$G$39,7,FALSE),0)</f>
        <v>0</v>
      </c>
      <c r="D57" t="s">
        <v>715</v>
      </c>
      <c r="E57" s="188" cm="1">
        <f t="array" ref="E57">SUMPRODUCT(('Data for SPECIATE'!$C$5:$C$26='PM Protocol'!E$1)*('Data for SPECIATE'!$M$1:$AZ$1='PM Protocol'!$A57)*'Data for SPECIATE'!$M$5:$AZ$26)/VLOOKUP(E$1,'Data for SPECIATE'!$C$5:$L$26,10,FALSE)</f>
        <v>0</v>
      </c>
      <c r="F57" s="188" cm="1">
        <f t="array" ref="F57">SUMPRODUCT(('Data for SPECIATE'!$C$5:$C$26='PM Protocol'!F$1)*('Data for SPECIATE'!$M$1:$AZ$1='PM Protocol'!$A57)*'Data for SPECIATE'!$M$5:$AZ$26)/VLOOKUP(F$1,'Data for SPECIATE'!$C$5:$L$26,10,FALSE)</f>
        <v>0</v>
      </c>
      <c r="G57" s="188" cm="1">
        <f t="array" ref="G57">SUMPRODUCT(('Data for SPECIATE'!$C$5:$C$26='PM Protocol'!G$1)*('Data for SPECIATE'!$M$1:$AZ$1='PM Protocol'!$A57)*'Data for SPECIATE'!$M$5:$AZ$26)/VLOOKUP(G$1,'Data for SPECIATE'!$C$5:$L$26,10,FALSE)</f>
        <v>0</v>
      </c>
      <c r="H57" s="188" cm="1">
        <f t="array" ref="H57">SUMPRODUCT(('Data for SPECIATE'!$C$5:$C$26='PM Protocol'!H$1)*('Data for SPECIATE'!$M$1:$AZ$1='PM Protocol'!$A57)*'Data for SPECIATE'!$M$5:$AZ$26)/VLOOKUP(H$1,'Data for SPECIATE'!$C$5:$L$26,10,FALSE)</f>
        <v>0</v>
      </c>
      <c r="I57" s="188" cm="1">
        <f t="array" ref="I57">SUMPRODUCT(('Data for SPECIATE'!$C$5:$C$26='PM Protocol'!I$1)*('Data for SPECIATE'!$M$1:$AZ$1='PM Protocol'!$A57)*'Data for SPECIATE'!$M$5:$AZ$26)/VLOOKUP(I$1,'Data for SPECIATE'!$C$5:$L$26,10,FALSE)</f>
        <v>0</v>
      </c>
      <c r="J57" s="188" cm="1">
        <f t="array" ref="J57">SUMPRODUCT(('Data for SPECIATE'!$C$5:$C$26='PM Protocol'!J$1)*('Data for SPECIATE'!$M$1:$AZ$1='PM Protocol'!$A57)*'Data for SPECIATE'!$M$5:$AZ$26)/VLOOKUP(J$1,'Data for SPECIATE'!$C$5:$L$26,10,FALSE)</f>
        <v>0</v>
      </c>
      <c r="K57" s="188" cm="1">
        <f t="array" ref="K57">SUMPRODUCT(('Data for SPECIATE'!$C$5:$C$26='PM Protocol'!K$1)*('Data for SPECIATE'!$M$1:$AZ$1='PM Protocol'!$A57)*'Data for SPECIATE'!$M$5:$AZ$26)/VLOOKUP(K$1,'Data for SPECIATE'!$C$5:$L$26,10,FALSE)</f>
        <v>0</v>
      </c>
      <c r="L57" s="188" cm="1">
        <f t="array" ref="L57">SUMPRODUCT(('Data for SPECIATE'!$C$5:$C$26='PM Protocol'!L$1)*('Data for SPECIATE'!$M$1:$AZ$1='PM Protocol'!$A57)*'Data for SPECIATE'!$M$5:$AZ$26)/VLOOKUP(L$1,'Data for SPECIATE'!$C$5:$L$26,10,FALSE)</f>
        <v>0</v>
      </c>
      <c r="M57" s="188" cm="1">
        <f t="array" ref="M57">SUMPRODUCT(('Data for SPECIATE'!$C$5:$C$26='PM Protocol'!M$1)*('Data for SPECIATE'!$M$1:$AZ$1='PM Protocol'!$A57)*'Data for SPECIATE'!$M$5:$AZ$26)/VLOOKUP(M$1,'Data for SPECIATE'!$C$5:$L$26,10,FALSE)</f>
        <v>0</v>
      </c>
      <c r="N57" s="188" cm="1">
        <f t="array" ref="N57">SUMPRODUCT(('Data for SPECIATE'!$C$5:$C$26='PM Protocol'!N$1)*('Data for SPECIATE'!$M$1:$AZ$1='PM Protocol'!$A57)*'Data for SPECIATE'!$M$5:$AZ$26)/VLOOKUP(N$1,'Data for SPECIATE'!$C$5:$L$26,10,FALSE)</f>
        <v>0</v>
      </c>
      <c r="O57" s="188" cm="1">
        <f t="array" ref="O57">SUMPRODUCT(('Data for SPECIATE'!$C$5:$C$26='PM Protocol'!O$1)*('Data for SPECIATE'!$M$1:$AZ$1='PM Protocol'!$A57)*'Data for SPECIATE'!$M$5:$AZ$26)/VLOOKUP(O$1,'Data for SPECIATE'!$C$5:$L$26,10,FALSE)</f>
        <v>0</v>
      </c>
      <c r="P57" s="188" cm="1">
        <f t="array" ref="P57">SUMPRODUCT(('Data for SPECIATE'!$C$5:$C$26='PM Protocol'!P$1)*('Data for SPECIATE'!$M$1:$AZ$1='PM Protocol'!$A57)*'Data for SPECIATE'!$M$5:$AZ$26)/VLOOKUP(P$1,'Data for SPECIATE'!$C$5:$L$26,10,FALSE)</f>
        <v>0</v>
      </c>
      <c r="Q57" s="188" cm="1">
        <f t="array" ref="Q57">SUMPRODUCT(('Data for SPECIATE'!$C$5:$C$26='PM Protocol'!Q$1)*('Data for SPECIATE'!$M$1:$AZ$1='PM Protocol'!$A57)*'Data for SPECIATE'!$M$5:$AZ$26)/VLOOKUP(Q$1,'Data for SPECIATE'!$C$5:$L$26,10,FALSE)</f>
        <v>0</v>
      </c>
      <c r="R57" s="188" cm="1">
        <f t="array" ref="R57">SUMPRODUCT(('Data for SPECIATE'!$C$5:$C$26='PM Protocol'!R$1)*('Data for SPECIATE'!$M$1:$AZ$1='PM Protocol'!$A57)*'Data for SPECIATE'!$M$5:$AZ$26)/SUMPRODUCT(('Data for SPECIATE'!$C$5:$C$26='PM Protocol'!R$1)*'Data for SPECIATE'!$M$5:$AZ$26)</f>
        <v>0</v>
      </c>
      <c r="S57" s="188" cm="1">
        <f t="array" ref="S57">SUMPRODUCT(('Data for SPECIATE'!$C$5:$C$26='PM Protocol'!S$1)*('Data for SPECIATE'!$M$1:$AZ$1='PM Protocol'!$A57)*'Data for SPECIATE'!$M$5:$AZ$26)/VLOOKUP(S$1,'Data for SPECIATE'!$C$5:$L$26,10,FALSE)</f>
        <v>0</v>
      </c>
      <c r="T57" s="188" cm="1">
        <f t="array" ref="T57">SUMPRODUCT(('Data for SPECIATE'!$C$5:$C$26='PM Protocol'!T$1)*('Data for SPECIATE'!$M$1:$AZ$1='PM Protocol'!$A57)*'Data for SPECIATE'!$M$5:$AZ$26)/VLOOKUP(T$1,'Data for SPECIATE'!$C$5:$L$26,10,FALSE)</f>
        <v>0</v>
      </c>
      <c r="U57" s="188" cm="1">
        <f t="array" ref="U57">SUMPRODUCT(('Data for SPECIATE'!$C$5:$C$26='PM Protocol'!U$1)*('Data for SPECIATE'!$M$1:$AZ$1='PM Protocol'!$A57)*'Data for SPECIATE'!$M$5:$AZ$26)/VLOOKUP(U$1,'Data for SPECIATE'!$C$5:$L$26,10,FALSE)</f>
        <v>0</v>
      </c>
      <c r="V57" s="188" cm="1">
        <f t="array" ref="V57">SUMPRODUCT(('Data for SPECIATE'!$C$5:$C$26='PM Protocol'!V$1)*('Data for SPECIATE'!$M$1:$AZ$1='PM Protocol'!$A57)*'Data for SPECIATE'!$M$5:$AZ$26)/VLOOKUP(V$1,'Data for SPECIATE'!$C$5:$L$26,10,FALSE)</f>
        <v>0</v>
      </c>
      <c r="W57" s="188" cm="1">
        <f t="array" ref="W57">SUMPRODUCT(('Data for SPECIATE'!$C$5:$C$26='PM Protocol'!W$1)*('Data for SPECIATE'!$M$1:$AZ$1='PM Protocol'!$A57)*'Data for SPECIATE'!$M$5:$AZ$26)/VLOOKUP(W$1,'Data for SPECIATE'!$C$5:$L$26,10,FALSE)</f>
        <v>0</v>
      </c>
      <c r="X57" s="188" cm="1">
        <f t="array" ref="X57">SUMPRODUCT(('Data for SPECIATE'!$C$5:$C$26='PM Protocol'!X$1)*('Data for SPECIATE'!$M$1:$AZ$1='PM Protocol'!$A57)*'Data for SPECIATE'!$M$5:$AZ$26)/VLOOKUP(X$1,'Data for SPECIATE'!$C$5:$L$26,10,FALSE)</f>
        <v>0</v>
      </c>
      <c r="Y57" s="188" cm="1">
        <f t="array" ref="Y57">SUMPRODUCT(('Data for SPECIATE'!$C$5:$C$26='PM Protocol'!Y$1)*('Data for SPECIATE'!$M$1:$AZ$1='PM Protocol'!$A57)*'Data for SPECIATE'!$M$5:$AZ$26)/VLOOKUP(Y$1,'Data for SPECIATE'!$C$5:$L$26,10,FALSE)</f>
        <v>0</v>
      </c>
      <c r="Z57" s="188" cm="1">
        <f t="array" ref="Z57">SUMPRODUCT(('Data for SPECIATE'!$C$5:$C$26='PM Protocol'!Z$1)*('Data for SPECIATE'!$M$1:$AZ$1='PM Protocol'!$A57)*'Data for SPECIATE'!$M$5:$AZ$26)/VLOOKUP(Z$1,'Data for SPECIATE'!$C$5:$L$26,10,FALSE)</f>
        <v>0</v>
      </c>
    </row>
    <row r="58" spans="1:26">
      <c r="A58">
        <v>3361</v>
      </c>
      <c r="B58" t="s">
        <v>20</v>
      </c>
      <c r="C58" s="191">
        <f>IFERROR(VLOOKUP(A58,Oxides!$A$2:$G$39,7,FALSE),0)</f>
        <v>0</v>
      </c>
      <c r="D58" t="s">
        <v>716</v>
      </c>
      <c r="E58" s="188" cm="1">
        <f t="array" ref="E58">SUMPRODUCT(('Data for SPECIATE'!$C$5:$C$26='PM Protocol'!E$1)*('Data for SPECIATE'!$M$1:$AZ$1='PM Protocol'!$A58)*'Data for SPECIATE'!$M$5:$AZ$26)/VLOOKUP(E$1,'Data for SPECIATE'!$C$5:$L$26,10,FALSE)</f>
        <v>0</v>
      </c>
      <c r="F58" s="188" cm="1">
        <f t="array" ref="F58">SUMPRODUCT(('Data for SPECIATE'!$C$5:$C$26='PM Protocol'!F$1)*('Data for SPECIATE'!$M$1:$AZ$1='PM Protocol'!$A58)*'Data for SPECIATE'!$M$5:$AZ$26)/VLOOKUP(F$1,'Data for SPECIATE'!$C$5:$L$26,10,FALSE)</f>
        <v>0</v>
      </c>
      <c r="G58" s="188" cm="1">
        <f t="array" ref="G58">SUMPRODUCT(('Data for SPECIATE'!$C$5:$C$26='PM Protocol'!G$1)*('Data for SPECIATE'!$M$1:$AZ$1='PM Protocol'!$A58)*'Data for SPECIATE'!$M$5:$AZ$26)/VLOOKUP(G$1,'Data for SPECIATE'!$C$5:$L$26,10,FALSE)</f>
        <v>0</v>
      </c>
      <c r="H58" s="188" cm="1">
        <f t="array" ref="H58">SUMPRODUCT(('Data for SPECIATE'!$C$5:$C$26='PM Protocol'!H$1)*('Data for SPECIATE'!$M$1:$AZ$1='PM Protocol'!$A58)*'Data for SPECIATE'!$M$5:$AZ$26)/VLOOKUP(H$1,'Data for SPECIATE'!$C$5:$L$26,10,FALSE)</f>
        <v>0</v>
      </c>
      <c r="I58" s="188" cm="1">
        <f t="array" ref="I58">SUMPRODUCT(('Data for SPECIATE'!$C$5:$C$26='PM Protocol'!I$1)*('Data for SPECIATE'!$M$1:$AZ$1='PM Protocol'!$A58)*'Data for SPECIATE'!$M$5:$AZ$26)/VLOOKUP(I$1,'Data for SPECIATE'!$C$5:$L$26,10,FALSE)</f>
        <v>0</v>
      </c>
      <c r="J58" s="188" cm="1">
        <f t="array" ref="J58">SUMPRODUCT(('Data for SPECIATE'!$C$5:$C$26='PM Protocol'!J$1)*('Data for SPECIATE'!$M$1:$AZ$1='PM Protocol'!$A58)*'Data for SPECIATE'!$M$5:$AZ$26)/VLOOKUP(J$1,'Data for SPECIATE'!$C$5:$L$26,10,FALSE)</f>
        <v>0</v>
      </c>
      <c r="K58" s="188" cm="1">
        <f t="array" ref="K58">SUMPRODUCT(('Data for SPECIATE'!$C$5:$C$26='PM Protocol'!K$1)*('Data for SPECIATE'!$M$1:$AZ$1='PM Protocol'!$A58)*'Data for SPECIATE'!$M$5:$AZ$26)/VLOOKUP(K$1,'Data for SPECIATE'!$C$5:$L$26,10,FALSE)</f>
        <v>0</v>
      </c>
      <c r="L58" s="188" cm="1">
        <f t="array" ref="L58">SUMPRODUCT(('Data for SPECIATE'!$C$5:$C$26='PM Protocol'!L$1)*('Data for SPECIATE'!$M$1:$AZ$1='PM Protocol'!$A58)*'Data for SPECIATE'!$M$5:$AZ$26)/VLOOKUP(L$1,'Data for SPECIATE'!$C$5:$L$26,10,FALSE)</f>
        <v>0</v>
      </c>
      <c r="M58" s="188" cm="1">
        <f t="array" ref="M58">SUMPRODUCT(('Data for SPECIATE'!$C$5:$C$26='PM Protocol'!M$1)*('Data for SPECIATE'!$M$1:$AZ$1='PM Protocol'!$A58)*'Data for SPECIATE'!$M$5:$AZ$26)/VLOOKUP(M$1,'Data for SPECIATE'!$C$5:$L$26,10,FALSE)</f>
        <v>0</v>
      </c>
      <c r="N58" s="188" cm="1">
        <f t="array" ref="N58">SUMPRODUCT(('Data for SPECIATE'!$C$5:$C$26='PM Protocol'!N$1)*('Data for SPECIATE'!$M$1:$AZ$1='PM Protocol'!$A58)*'Data for SPECIATE'!$M$5:$AZ$26)/VLOOKUP(N$1,'Data for SPECIATE'!$C$5:$L$26,10,FALSE)</f>
        <v>0</v>
      </c>
      <c r="O58" s="188" cm="1">
        <f t="array" ref="O58">SUMPRODUCT(('Data for SPECIATE'!$C$5:$C$26='PM Protocol'!O$1)*('Data for SPECIATE'!$M$1:$AZ$1='PM Protocol'!$A58)*'Data for SPECIATE'!$M$5:$AZ$26)/VLOOKUP(O$1,'Data for SPECIATE'!$C$5:$L$26,10,FALSE)</f>
        <v>0</v>
      </c>
      <c r="P58" s="188" cm="1">
        <f t="array" ref="P58">SUMPRODUCT(('Data for SPECIATE'!$C$5:$C$26='PM Protocol'!P$1)*('Data for SPECIATE'!$M$1:$AZ$1='PM Protocol'!$A58)*'Data for SPECIATE'!$M$5:$AZ$26)/VLOOKUP(P$1,'Data for SPECIATE'!$C$5:$L$26,10,FALSE)</f>
        <v>0</v>
      </c>
      <c r="Q58" s="188" cm="1">
        <f t="array" ref="Q58">SUMPRODUCT(('Data for SPECIATE'!$C$5:$C$26='PM Protocol'!Q$1)*('Data for SPECIATE'!$M$1:$AZ$1='PM Protocol'!$A58)*'Data for SPECIATE'!$M$5:$AZ$26)/VLOOKUP(Q$1,'Data for SPECIATE'!$C$5:$L$26,10,FALSE)</f>
        <v>0</v>
      </c>
      <c r="R58" s="188" cm="1">
        <f t="array" ref="R58">SUMPRODUCT(('Data for SPECIATE'!$C$5:$C$26='PM Protocol'!R$1)*('Data for SPECIATE'!$M$1:$AZ$1='PM Protocol'!$A58)*'Data for SPECIATE'!$M$5:$AZ$26)/SUMPRODUCT(('Data for SPECIATE'!$C$5:$C$26='PM Protocol'!R$1)*'Data for SPECIATE'!$M$5:$AZ$26)</f>
        <v>0</v>
      </c>
      <c r="S58" s="188" cm="1">
        <f t="array" ref="S58">SUMPRODUCT(('Data for SPECIATE'!$C$5:$C$26='PM Protocol'!S$1)*('Data for SPECIATE'!$M$1:$AZ$1='PM Protocol'!$A58)*'Data for SPECIATE'!$M$5:$AZ$26)/VLOOKUP(S$1,'Data for SPECIATE'!$C$5:$L$26,10,FALSE)</f>
        <v>0</v>
      </c>
      <c r="T58" s="188" cm="1">
        <f t="array" ref="T58">SUMPRODUCT(('Data for SPECIATE'!$C$5:$C$26='PM Protocol'!T$1)*('Data for SPECIATE'!$M$1:$AZ$1='PM Protocol'!$A58)*'Data for SPECIATE'!$M$5:$AZ$26)/VLOOKUP(T$1,'Data for SPECIATE'!$C$5:$L$26,10,FALSE)</f>
        <v>0</v>
      </c>
      <c r="U58" s="188" cm="1">
        <f t="array" ref="U58">SUMPRODUCT(('Data for SPECIATE'!$C$5:$C$26='PM Protocol'!U$1)*('Data for SPECIATE'!$M$1:$AZ$1='PM Protocol'!$A58)*'Data for SPECIATE'!$M$5:$AZ$26)/VLOOKUP(U$1,'Data for SPECIATE'!$C$5:$L$26,10,FALSE)</f>
        <v>0</v>
      </c>
      <c r="V58" s="188" cm="1">
        <f t="array" ref="V58">SUMPRODUCT(('Data for SPECIATE'!$C$5:$C$26='PM Protocol'!V$1)*('Data for SPECIATE'!$M$1:$AZ$1='PM Protocol'!$A58)*'Data for SPECIATE'!$M$5:$AZ$26)/VLOOKUP(V$1,'Data for SPECIATE'!$C$5:$L$26,10,FALSE)</f>
        <v>0</v>
      </c>
      <c r="W58" s="188" cm="1">
        <f t="array" ref="W58">SUMPRODUCT(('Data for SPECIATE'!$C$5:$C$26='PM Protocol'!W$1)*('Data for SPECIATE'!$M$1:$AZ$1='PM Protocol'!$A58)*'Data for SPECIATE'!$M$5:$AZ$26)/VLOOKUP(W$1,'Data for SPECIATE'!$C$5:$L$26,10,FALSE)</f>
        <v>0</v>
      </c>
      <c r="X58" s="188" cm="1">
        <f t="array" ref="X58">SUMPRODUCT(('Data for SPECIATE'!$C$5:$C$26='PM Protocol'!X$1)*('Data for SPECIATE'!$M$1:$AZ$1='PM Protocol'!$A58)*'Data for SPECIATE'!$M$5:$AZ$26)/VLOOKUP(X$1,'Data for SPECIATE'!$C$5:$L$26,10,FALSE)</f>
        <v>0</v>
      </c>
      <c r="Y58" s="188" cm="1">
        <f t="array" ref="Y58">SUMPRODUCT(('Data for SPECIATE'!$C$5:$C$26='PM Protocol'!Y$1)*('Data for SPECIATE'!$M$1:$AZ$1='PM Protocol'!$A58)*'Data for SPECIATE'!$M$5:$AZ$26)/VLOOKUP(Y$1,'Data for SPECIATE'!$C$5:$L$26,10,FALSE)</f>
        <v>0</v>
      </c>
      <c r="Z58" s="188" cm="1">
        <f t="array" ref="Z58">SUMPRODUCT(('Data for SPECIATE'!$C$5:$C$26='PM Protocol'!Z$1)*('Data for SPECIATE'!$M$1:$AZ$1='PM Protocol'!$A58)*'Data for SPECIATE'!$M$5:$AZ$26)/VLOOKUP(Z$1,'Data for SPECIATE'!$C$5:$L$26,10,FALSE)</f>
        <v>0</v>
      </c>
    </row>
    <row r="59" spans="1:26">
      <c r="A59">
        <v>3362</v>
      </c>
      <c r="B59" t="s">
        <v>20</v>
      </c>
      <c r="C59" s="191">
        <f>IFERROR(VLOOKUP(A59,Oxides!$A$2:$G$39,7,FALSE),0)</f>
        <v>0</v>
      </c>
      <c r="D59" t="s">
        <v>717</v>
      </c>
      <c r="E59" s="188" cm="1">
        <f t="array" ref="E59">SUMPRODUCT(('Data for SPECIATE'!$C$5:$C$26='PM Protocol'!E$1)*('Data for SPECIATE'!$M$1:$AZ$1='PM Protocol'!$A59)*'Data for SPECIATE'!$M$5:$AZ$26)/VLOOKUP(E$1,'Data for SPECIATE'!$C$5:$L$26,10,FALSE)</f>
        <v>0</v>
      </c>
      <c r="F59" s="188" cm="1">
        <f t="array" ref="F59">SUMPRODUCT(('Data for SPECIATE'!$C$5:$C$26='PM Protocol'!F$1)*('Data for SPECIATE'!$M$1:$AZ$1='PM Protocol'!$A59)*'Data for SPECIATE'!$M$5:$AZ$26)/VLOOKUP(F$1,'Data for SPECIATE'!$C$5:$L$26,10,FALSE)</f>
        <v>0</v>
      </c>
      <c r="G59" s="188" cm="1">
        <f t="array" ref="G59">SUMPRODUCT(('Data for SPECIATE'!$C$5:$C$26='PM Protocol'!G$1)*('Data for SPECIATE'!$M$1:$AZ$1='PM Protocol'!$A59)*'Data for SPECIATE'!$M$5:$AZ$26)/VLOOKUP(G$1,'Data for SPECIATE'!$C$5:$L$26,10,FALSE)</f>
        <v>0</v>
      </c>
      <c r="H59" s="188" cm="1">
        <f t="array" ref="H59">SUMPRODUCT(('Data for SPECIATE'!$C$5:$C$26='PM Protocol'!H$1)*('Data for SPECIATE'!$M$1:$AZ$1='PM Protocol'!$A59)*'Data for SPECIATE'!$M$5:$AZ$26)/VLOOKUP(H$1,'Data for SPECIATE'!$C$5:$L$26,10,FALSE)</f>
        <v>0</v>
      </c>
      <c r="I59" s="188" cm="1">
        <f t="array" ref="I59">SUMPRODUCT(('Data for SPECIATE'!$C$5:$C$26='PM Protocol'!I$1)*('Data for SPECIATE'!$M$1:$AZ$1='PM Protocol'!$A59)*'Data for SPECIATE'!$M$5:$AZ$26)/VLOOKUP(I$1,'Data for SPECIATE'!$C$5:$L$26,10,FALSE)</f>
        <v>0</v>
      </c>
      <c r="J59" s="188" cm="1">
        <f t="array" ref="J59">SUMPRODUCT(('Data for SPECIATE'!$C$5:$C$26='PM Protocol'!J$1)*('Data for SPECIATE'!$M$1:$AZ$1='PM Protocol'!$A59)*'Data for SPECIATE'!$M$5:$AZ$26)/VLOOKUP(J$1,'Data for SPECIATE'!$C$5:$L$26,10,FALSE)</f>
        <v>0</v>
      </c>
      <c r="K59" s="188" cm="1">
        <f t="array" ref="K59">SUMPRODUCT(('Data for SPECIATE'!$C$5:$C$26='PM Protocol'!K$1)*('Data for SPECIATE'!$M$1:$AZ$1='PM Protocol'!$A59)*'Data for SPECIATE'!$M$5:$AZ$26)/VLOOKUP(K$1,'Data for SPECIATE'!$C$5:$L$26,10,FALSE)</f>
        <v>0</v>
      </c>
      <c r="L59" s="188" cm="1">
        <f t="array" ref="L59">SUMPRODUCT(('Data for SPECIATE'!$C$5:$C$26='PM Protocol'!L$1)*('Data for SPECIATE'!$M$1:$AZ$1='PM Protocol'!$A59)*'Data for SPECIATE'!$M$5:$AZ$26)/VLOOKUP(L$1,'Data for SPECIATE'!$C$5:$L$26,10,FALSE)</f>
        <v>0</v>
      </c>
      <c r="M59" s="188" cm="1">
        <f t="array" ref="M59">SUMPRODUCT(('Data for SPECIATE'!$C$5:$C$26='PM Protocol'!M$1)*('Data for SPECIATE'!$M$1:$AZ$1='PM Protocol'!$A59)*'Data for SPECIATE'!$M$5:$AZ$26)/VLOOKUP(M$1,'Data for SPECIATE'!$C$5:$L$26,10,FALSE)</f>
        <v>0</v>
      </c>
      <c r="N59" s="188" cm="1">
        <f t="array" ref="N59">SUMPRODUCT(('Data for SPECIATE'!$C$5:$C$26='PM Protocol'!N$1)*('Data for SPECIATE'!$M$1:$AZ$1='PM Protocol'!$A59)*'Data for SPECIATE'!$M$5:$AZ$26)/VLOOKUP(N$1,'Data for SPECIATE'!$C$5:$L$26,10,FALSE)</f>
        <v>0</v>
      </c>
      <c r="O59" s="188" cm="1">
        <f t="array" ref="O59">SUMPRODUCT(('Data for SPECIATE'!$C$5:$C$26='PM Protocol'!O$1)*('Data for SPECIATE'!$M$1:$AZ$1='PM Protocol'!$A59)*'Data for SPECIATE'!$M$5:$AZ$26)/VLOOKUP(O$1,'Data for SPECIATE'!$C$5:$L$26,10,FALSE)</f>
        <v>0</v>
      </c>
      <c r="P59" s="188" cm="1">
        <f t="array" ref="P59">SUMPRODUCT(('Data for SPECIATE'!$C$5:$C$26='PM Protocol'!P$1)*('Data for SPECIATE'!$M$1:$AZ$1='PM Protocol'!$A59)*'Data for SPECIATE'!$M$5:$AZ$26)/VLOOKUP(P$1,'Data for SPECIATE'!$C$5:$L$26,10,FALSE)</f>
        <v>0</v>
      </c>
      <c r="Q59" s="188" cm="1">
        <f t="array" ref="Q59">SUMPRODUCT(('Data for SPECIATE'!$C$5:$C$26='PM Protocol'!Q$1)*('Data for SPECIATE'!$M$1:$AZ$1='PM Protocol'!$A59)*'Data for SPECIATE'!$M$5:$AZ$26)/VLOOKUP(Q$1,'Data for SPECIATE'!$C$5:$L$26,10,FALSE)</f>
        <v>0</v>
      </c>
      <c r="R59" s="188" cm="1">
        <f t="array" ref="R59">SUMPRODUCT(('Data for SPECIATE'!$C$5:$C$26='PM Protocol'!R$1)*('Data for SPECIATE'!$M$1:$AZ$1='PM Protocol'!$A59)*'Data for SPECIATE'!$M$5:$AZ$26)/SUMPRODUCT(('Data for SPECIATE'!$C$5:$C$26='PM Protocol'!R$1)*'Data for SPECIATE'!$M$5:$AZ$26)</f>
        <v>0</v>
      </c>
      <c r="S59" s="188" cm="1">
        <f t="array" ref="S59">SUMPRODUCT(('Data for SPECIATE'!$C$5:$C$26='PM Protocol'!S$1)*('Data for SPECIATE'!$M$1:$AZ$1='PM Protocol'!$A59)*'Data for SPECIATE'!$M$5:$AZ$26)/VLOOKUP(S$1,'Data for SPECIATE'!$C$5:$L$26,10,FALSE)</f>
        <v>0</v>
      </c>
      <c r="T59" s="188" cm="1">
        <f t="array" ref="T59">SUMPRODUCT(('Data for SPECIATE'!$C$5:$C$26='PM Protocol'!T$1)*('Data for SPECIATE'!$M$1:$AZ$1='PM Protocol'!$A59)*'Data for SPECIATE'!$M$5:$AZ$26)/VLOOKUP(T$1,'Data for SPECIATE'!$C$5:$L$26,10,FALSE)</f>
        <v>0</v>
      </c>
      <c r="U59" s="188" cm="1">
        <f t="array" ref="U59">SUMPRODUCT(('Data for SPECIATE'!$C$5:$C$26='PM Protocol'!U$1)*('Data for SPECIATE'!$M$1:$AZ$1='PM Protocol'!$A59)*'Data for SPECIATE'!$M$5:$AZ$26)/VLOOKUP(U$1,'Data for SPECIATE'!$C$5:$L$26,10,FALSE)</f>
        <v>0</v>
      </c>
      <c r="V59" s="188" cm="1">
        <f t="array" ref="V59">SUMPRODUCT(('Data for SPECIATE'!$C$5:$C$26='PM Protocol'!V$1)*('Data for SPECIATE'!$M$1:$AZ$1='PM Protocol'!$A59)*'Data for SPECIATE'!$M$5:$AZ$26)/VLOOKUP(V$1,'Data for SPECIATE'!$C$5:$L$26,10,FALSE)</f>
        <v>0</v>
      </c>
      <c r="W59" s="188" cm="1">
        <f t="array" ref="W59">SUMPRODUCT(('Data for SPECIATE'!$C$5:$C$26='PM Protocol'!W$1)*('Data for SPECIATE'!$M$1:$AZ$1='PM Protocol'!$A59)*'Data for SPECIATE'!$M$5:$AZ$26)/VLOOKUP(W$1,'Data for SPECIATE'!$C$5:$L$26,10,FALSE)</f>
        <v>0</v>
      </c>
      <c r="X59" s="188" cm="1">
        <f t="array" ref="X59">SUMPRODUCT(('Data for SPECIATE'!$C$5:$C$26='PM Protocol'!X$1)*('Data for SPECIATE'!$M$1:$AZ$1='PM Protocol'!$A59)*'Data for SPECIATE'!$M$5:$AZ$26)/VLOOKUP(X$1,'Data for SPECIATE'!$C$5:$L$26,10,FALSE)</f>
        <v>0</v>
      </c>
      <c r="Y59" s="188" cm="1">
        <f t="array" ref="Y59">SUMPRODUCT(('Data for SPECIATE'!$C$5:$C$26='PM Protocol'!Y$1)*('Data for SPECIATE'!$M$1:$AZ$1='PM Protocol'!$A59)*'Data for SPECIATE'!$M$5:$AZ$26)/VLOOKUP(Y$1,'Data for SPECIATE'!$C$5:$L$26,10,FALSE)</f>
        <v>0</v>
      </c>
      <c r="Z59" s="188" cm="1">
        <f t="array" ref="Z59">SUMPRODUCT(('Data for SPECIATE'!$C$5:$C$26='PM Protocol'!Z$1)*('Data for SPECIATE'!$M$1:$AZ$1='PM Protocol'!$A59)*'Data for SPECIATE'!$M$5:$AZ$26)/VLOOKUP(Z$1,'Data for SPECIATE'!$C$5:$L$26,10,FALSE)</f>
        <v>0</v>
      </c>
    </row>
    <row r="60" spans="1:26">
      <c r="A60">
        <v>3363</v>
      </c>
      <c r="B60" t="s">
        <v>20</v>
      </c>
      <c r="C60" s="191">
        <f>IFERROR(VLOOKUP(A60,Oxides!$A$2:$G$39,7,FALSE),0)</f>
        <v>0</v>
      </c>
      <c r="D60" t="s">
        <v>718</v>
      </c>
      <c r="E60" s="188" cm="1">
        <f t="array" ref="E60">SUMPRODUCT(('Data for SPECIATE'!$C$5:$C$26='PM Protocol'!E$1)*('Data for SPECIATE'!$M$1:$AZ$1='PM Protocol'!$A60)*'Data for SPECIATE'!$M$5:$AZ$26)/VLOOKUP(E$1,'Data for SPECIATE'!$C$5:$L$26,10,FALSE)</f>
        <v>0</v>
      </c>
      <c r="F60" s="188" cm="1">
        <f t="array" ref="F60">SUMPRODUCT(('Data for SPECIATE'!$C$5:$C$26='PM Protocol'!F$1)*('Data for SPECIATE'!$M$1:$AZ$1='PM Protocol'!$A60)*'Data for SPECIATE'!$M$5:$AZ$26)/VLOOKUP(F$1,'Data for SPECIATE'!$C$5:$L$26,10,FALSE)</f>
        <v>0</v>
      </c>
      <c r="G60" s="188" cm="1">
        <f t="array" ref="G60">SUMPRODUCT(('Data for SPECIATE'!$C$5:$C$26='PM Protocol'!G$1)*('Data for SPECIATE'!$M$1:$AZ$1='PM Protocol'!$A60)*'Data for SPECIATE'!$M$5:$AZ$26)/VLOOKUP(G$1,'Data for SPECIATE'!$C$5:$L$26,10,FALSE)</f>
        <v>0</v>
      </c>
      <c r="H60" s="188" cm="1">
        <f t="array" ref="H60">SUMPRODUCT(('Data for SPECIATE'!$C$5:$C$26='PM Protocol'!H$1)*('Data for SPECIATE'!$M$1:$AZ$1='PM Protocol'!$A60)*'Data for SPECIATE'!$M$5:$AZ$26)/VLOOKUP(H$1,'Data for SPECIATE'!$C$5:$L$26,10,FALSE)</f>
        <v>0</v>
      </c>
      <c r="I60" s="188" cm="1">
        <f t="array" ref="I60">SUMPRODUCT(('Data for SPECIATE'!$C$5:$C$26='PM Protocol'!I$1)*('Data for SPECIATE'!$M$1:$AZ$1='PM Protocol'!$A60)*'Data for SPECIATE'!$M$5:$AZ$26)/VLOOKUP(I$1,'Data for SPECIATE'!$C$5:$L$26,10,FALSE)</f>
        <v>0</v>
      </c>
      <c r="J60" s="188" cm="1">
        <f t="array" ref="J60">SUMPRODUCT(('Data for SPECIATE'!$C$5:$C$26='PM Protocol'!J$1)*('Data for SPECIATE'!$M$1:$AZ$1='PM Protocol'!$A60)*'Data for SPECIATE'!$M$5:$AZ$26)/VLOOKUP(J$1,'Data for SPECIATE'!$C$5:$L$26,10,FALSE)</f>
        <v>0</v>
      </c>
      <c r="K60" s="188" cm="1">
        <f t="array" ref="K60">SUMPRODUCT(('Data for SPECIATE'!$C$5:$C$26='PM Protocol'!K$1)*('Data for SPECIATE'!$M$1:$AZ$1='PM Protocol'!$A60)*'Data for SPECIATE'!$M$5:$AZ$26)/VLOOKUP(K$1,'Data for SPECIATE'!$C$5:$L$26,10,FALSE)</f>
        <v>0</v>
      </c>
      <c r="L60" s="188" cm="1">
        <f t="array" ref="L60">SUMPRODUCT(('Data for SPECIATE'!$C$5:$C$26='PM Protocol'!L$1)*('Data for SPECIATE'!$M$1:$AZ$1='PM Protocol'!$A60)*'Data for SPECIATE'!$M$5:$AZ$26)/VLOOKUP(L$1,'Data for SPECIATE'!$C$5:$L$26,10,FALSE)</f>
        <v>0</v>
      </c>
      <c r="M60" s="188" cm="1">
        <f t="array" ref="M60">SUMPRODUCT(('Data for SPECIATE'!$C$5:$C$26='PM Protocol'!M$1)*('Data for SPECIATE'!$M$1:$AZ$1='PM Protocol'!$A60)*'Data for SPECIATE'!$M$5:$AZ$26)/VLOOKUP(M$1,'Data for SPECIATE'!$C$5:$L$26,10,FALSE)</f>
        <v>0</v>
      </c>
      <c r="N60" s="188" cm="1">
        <f t="array" ref="N60">SUMPRODUCT(('Data for SPECIATE'!$C$5:$C$26='PM Protocol'!N$1)*('Data for SPECIATE'!$M$1:$AZ$1='PM Protocol'!$A60)*'Data for SPECIATE'!$M$5:$AZ$26)/VLOOKUP(N$1,'Data for SPECIATE'!$C$5:$L$26,10,FALSE)</f>
        <v>0</v>
      </c>
      <c r="O60" s="188" cm="1">
        <f t="array" ref="O60">SUMPRODUCT(('Data for SPECIATE'!$C$5:$C$26='PM Protocol'!O$1)*('Data for SPECIATE'!$M$1:$AZ$1='PM Protocol'!$A60)*'Data for SPECIATE'!$M$5:$AZ$26)/VLOOKUP(O$1,'Data for SPECIATE'!$C$5:$L$26,10,FALSE)</f>
        <v>0</v>
      </c>
      <c r="P60" s="188" cm="1">
        <f t="array" ref="P60">SUMPRODUCT(('Data for SPECIATE'!$C$5:$C$26='PM Protocol'!P$1)*('Data for SPECIATE'!$M$1:$AZ$1='PM Protocol'!$A60)*'Data for SPECIATE'!$M$5:$AZ$26)/VLOOKUP(P$1,'Data for SPECIATE'!$C$5:$L$26,10,FALSE)</f>
        <v>0</v>
      </c>
      <c r="Q60" s="188" cm="1">
        <f t="array" ref="Q60">SUMPRODUCT(('Data for SPECIATE'!$C$5:$C$26='PM Protocol'!Q$1)*('Data for SPECIATE'!$M$1:$AZ$1='PM Protocol'!$A60)*'Data for SPECIATE'!$M$5:$AZ$26)/VLOOKUP(Q$1,'Data for SPECIATE'!$C$5:$L$26,10,FALSE)</f>
        <v>0</v>
      </c>
      <c r="R60" s="188" cm="1">
        <f t="array" ref="R60">SUMPRODUCT(('Data for SPECIATE'!$C$5:$C$26='PM Protocol'!R$1)*('Data for SPECIATE'!$M$1:$AZ$1='PM Protocol'!$A60)*'Data for SPECIATE'!$M$5:$AZ$26)/SUMPRODUCT(('Data for SPECIATE'!$C$5:$C$26='PM Protocol'!R$1)*'Data for SPECIATE'!$M$5:$AZ$26)</f>
        <v>0</v>
      </c>
      <c r="S60" s="188" cm="1">
        <f t="array" ref="S60">SUMPRODUCT(('Data for SPECIATE'!$C$5:$C$26='PM Protocol'!S$1)*('Data for SPECIATE'!$M$1:$AZ$1='PM Protocol'!$A60)*'Data for SPECIATE'!$M$5:$AZ$26)/VLOOKUP(S$1,'Data for SPECIATE'!$C$5:$L$26,10,FALSE)</f>
        <v>0</v>
      </c>
      <c r="T60" s="188" cm="1">
        <f t="array" ref="T60">SUMPRODUCT(('Data for SPECIATE'!$C$5:$C$26='PM Protocol'!T$1)*('Data for SPECIATE'!$M$1:$AZ$1='PM Protocol'!$A60)*'Data for SPECIATE'!$M$5:$AZ$26)/VLOOKUP(T$1,'Data for SPECIATE'!$C$5:$L$26,10,FALSE)</f>
        <v>0</v>
      </c>
      <c r="U60" s="188" cm="1">
        <f t="array" ref="U60">SUMPRODUCT(('Data for SPECIATE'!$C$5:$C$26='PM Protocol'!U$1)*('Data for SPECIATE'!$M$1:$AZ$1='PM Protocol'!$A60)*'Data for SPECIATE'!$M$5:$AZ$26)/VLOOKUP(U$1,'Data for SPECIATE'!$C$5:$L$26,10,FALSE)</f>
        <v>0</v>
      </c>
      <c r="V60" s="188" cm="1">
        <f t="array" ref="V60">SUMPRODUCT(('Data for SPECIATE'!$C$5:$C$26='PM Protocol'!V$1)*('Data for SPECIATE'!$M$1:$AZ$1='PM Protocol'!$A60)*'Data for SPECIATE'!$M$5:$AZ$26)/VLOOKUP(V$1,'Data for SPECIATE'!$C$5:$L$26,10,FALSE)</f>
        <v>0</v>
      </c>
      <c r="W60" s="188" cm="1">
        <f t="array" ref="W60">SUMPRODUCT(('Data for SPECIATE'!$C$5:$C$26='PM Protocol'!W$1)*('Data for SPECIATE'!$M$1:$AZ$1='PM Protocol'!$A60)*'Data for SPECIATE'!$M$5:$AZ$26)/VLOOKUP(W$1,'Data for SPECIATE'!$C$5:$L$26,10,FALSE)</f>
        <v>0</v>
      </c>
      <c r="X60" s="188" cm="1">
        <f t="array" ref="X60">SUMPRODUCT(('Data for SPECIATE'!$C$5:$C$26='PM Protocol'!X$1)*('Data for SPECIATE'!$M$1:$AZ$1='PM Protocol'!$A60)*'Data for SPECIATE'!$M$5:$AZ$26)/VLOOKUP(X$1,'Data for SPECIATE'!$C$5:$L$26,10,FALSE)</f>
        <v>0</v>
      </c>
      <c r="Y60" s="188" cm="1">
        <f t="array" ref="Y60">SUMPRODUCT(('Data for SPECIATE'!$C$5:$C$26='PM Protocol'!Y$1)*('Data for SPECIATE'!$M$1:$AZ$1='PM Protocol'!$A60)*'Data for SPECIATE'!$M$5:$AZ$26)/VLOOKUP(Y$1,'Data for SPECIATE'!$C$5:$L$26,10,FALSE)</f>
        <v>0</v>
      </c>
      <c r="Z60" s="188" cm="1">
        <f t="array" ref="Z60">SUMPRODUCT(('Data for SPECIATE'!$C$5:$C$26='PM Protocol'!Z$1)*('Data for SPECIATE'!$M$1:$AZ$1='PM Protocol'!$A60)*'Data for SPECIATE'!$M$5:$AZ$26)/VLOOKUP(Z$1,'Data for SPECIATE'!$C$5:$L$26,10,FALSE)</f>
        <v>0</v>
      </c>
    </row>
    <row r="61" spans="1:26">
      <c r="A61">
        <v>3364</v>
      </c>
      <c r="B61" t="s">
        <v>20</v>
      </c>
      <c r="C61" s="191">
        <f>IFERROR(VLOOKUP(A61,Oxides!$A$2:$G$39,7,FALSE),0)</f>
        <v>0</v>
      </c>
      <c r="D61" t="s">
        <v>719</v>
      </c>
      <c r="E61" s="188" cm="1">
        <f t="array" ref="E61">SUMPRODUCT(('Data for SPECIATE'!$C$5:$C$26='PM Protocol'!E$1)*('Data for SPECIATE'!$M$1:$AZ$1='PM Protocol'!$A61)*'Data for SPECIATE'!$M$5:$AZ$26)/VLOOKUP(E$1,'Data for SPECIATE'!$C$5:$L$26,10,FALSE)</f>
        <v>0</v>
      </c>
      <c r="F61" s="188" cm="1">
        <f t="array" ref="F61">SUMPRODUCT(('Data for SPECIATE'!$C$5:$C$26='PM Protocol'!F$1)*('Data for SPECIATE'!$M$1:$AZ$1='PM Protocol'!$A61)*'Data for SPECIATE'!$M$5:$AZ$26)/VLOOKUP(F$1,'Data for SPECIATE'!$C$5:$L$26,10,FALSE)</f>
        <v>0</v>
      </c>
      <c r="G61" s="188" cm="1">
        <f t="array" ref="G61">SUMPRODUCT(('Data for SPECIATE'!$C$5:$C$26='PM Protocol'!G$1)*('Data for SPECIATE'!$M$1:$AZ$1='PM Protocol'!$A61)*'Data for SPECIATE'!$M$5:$AZ$26)/VLOOKUP(G$1,'Data for SPECIATE'!$C$5:$L$26,10,FALSE)</f>
        <v>0</v>
      </c>
      <c r="H61" s="188" cm="1">
        <f t="array" ref="H61">SUMPRODUCT(('Data for SPECIATE'!$C$5:$C$26='PM Protocol'!H$1)*('Data for SPECIATE'!$M$1:$AZ$1='PM Protocol'!$A61)*'Data for SPECIATE'!$M$5:$AZ$26)/VLOOKUP(H$1,'Data for SPECIATE'!$C$5:$L$26,10,FALSE)</f>
        <v>0</v>
      </c>
      <c r="I61" s="188" cm="1">
        <f t="array" ref="I61">SUMPRODUCT(('Data for SPECIATE'!$C$5:$C$26='PM Protocol'!I$1)*('Data for SPECIATE'!$M$1:$AZ$1='PM Protocol'!$A61)*'Data for SPECIATE'!$M$5:$AZ$26)/VLOOKUP(I$1,'Data for SPECIATE'!$C$5:$L$26,10,FALSE)</f>
        <v>0</v>
      </c>
      <c r="J61" s="188" cm="1">
        <f t="array" ref="J61">SUMPRODUCT(('Data for SPECIATE'!$C$5:$C$26='PM Protocol'!J$1)*('Data for SPECIATE'!$M$1:$AZ$1='PM Protocol'!$A61)*'Data for SPECIATE'!$M$5:$AZ$26)/VLOOKUP(J$1,'Data for SPECIATE'!$C$5:$L$26,10,FALSE)</f>
        <v>0</v>
      </c>
      <c r="K61" s="188" cm="1">
        <f t="array" ref="K61">SUMPRODUCT(('Data for SPECIATE'!$C$5:$C$26='PM Protocol'!K$1)*('Data for SPECIATE'!$M$1:$AZ$1='PM Protocol'!$A61)*'Data for SPECIATE'!$M$5:$AZ$26)/VLOOKUP(K$1,'Data for SPECIATE'!$C$5:$L$26,10,FALSE)</f>
        <v>0</v>
      </c>
      <c r="L61" s="188" cm="1">
        <f t="array" ref="L61">SUMPRODUCT(('Data for SPECIATE'!$C$5:$C$26='PM Protocol'!L$1)*('Data for SPECIATE'!$M$1:$AZ$1='PM Protocol'!$A61)*'Data for SPECIATE'!$M$5:$AZ$26)/VLOOKUP(L$1,'Data for SPECIATE'!$C$5:$L$26,10,FALSE)</f>
        <v>0</v>
      </c>
      <c r="M61" s="188" cm="1">
        <f t="array" ref="M61">SUMPRODUCT(('Data for SPECIATE'!$C$5:$C$26='PM Protocol'!M$1)*('Data for SPECIATE'!$M$1:$AZ$1='PM Protocol'!$A61)*'Data for SPECIATE'!$M$5:$AZ$26)/VLOOKUP(M$1,'Data for SPECIATE'!$C$5:$L$26,10,FALSE)</f>
        <v>0</v>
      </c>
      <c r="N61" s="188" cm="1">
        <f t="array" ref="N61">SUMPRODUCT(('Data for SPECIATE'!$C$5:$C$26='PM Protocol'!N$1)*('Data for SPECIATE'!$M$1:$AZ$1='PM Protocol'!$A61)*'Data for SPECIATE'!$M$5:$AZ$26)/VLOOKUP(N$1,'Data for SPECIATE'!$C$5:$L$26,10,FALSE)</f>
        <v>0</v>
      </c>
      <c r="O61" s="188" cm="1">
        <f t="array" ref="O61">SUMPRODUCT(('Data for SPECIATE'!$C$5:$C$26='PM Protocol'!O$1)*('Data for SPECIATE'!$M$1:$AZ$1='PM Protocol'!$A61)*'Data for SPECIATE'!$M$5:$AZ$26)/VLOOKUP(O$1,'Data for SPECIATE'!$C$5:$L$26,10,FALSE)</f>
        <v>0</v>
      </c>
      <c r="P61" s="188" cm="1">
        <f t="array" ref="P61">SUMPRODUCT(('Data for SPECIATE'!$C$5:$C$26='PM Protocol'!P$1)*('Data for SPECIATE'!$M$1:$AZ$1='PM Protocol'!$A61)*'Data for SPECIATE'!$M$5:$AZ$26)/VLOOKUP(P$1,'Data for SPECIATE'!$C$5:$L$26,10,FALSE)</f>
        <v>0</v>
      </c>
      <c r="Q61" s="188" cm="1">
        <f t="array" ref="Q61">SUMPRODUCT(('Data for SPECIATE'!$C$5:$C$26='PM Protocol'!Q$1)*('Data for SPECIATE'!$M$1:$AZ$1='PM Protocol'!$A61)*'Data for SPECIATE'!$M$5:$AZ$26)/VLOOKUP(Q$1,'Data for SPECIATE'!$C$5:$L$26,10,FALSE)</f>
        <v>0</v>
      </c>
      <c r="R61" s="188" cm="1">
        <f t="array" ref="R61">SUMPRODUCT(('Data for SPECIATE'!$C$5:$C$26='PM Protocol'!R$1)*('Data for SPECIATE'!$M$1:$AZ$1='PM Protocol'!$A61)*'Data for SPECIATE'!$M$5:$AZ$26)/SUMPRODUCT(('Data for SPECIATE'!$C$5:$C$26='PM Protocol'!R$1)*'Data for SPECIATE'!$M$5:$AZ$26)</f>
        <v>0</v>
      </c>
      <c r="S61" s="188" cm="1">
        <f t="array" ref="S61">SUMPRODUCT(('Data for SPECIATE'!$C$5:$C$26='PM Protocol'!S$1)*('Data for SPECIATE'!$M$1:$AZ$1='PM Protocol'!$A61)*'Data for SPECIATE'!$M$5:$AZ$26)/VLOOKUP(S$1,'Data for SPECIATE'!$C$5:$L$26,10,FALSE)</f>
        <v>0</v>
      </c>
      <c r="T61" s="188" cm="1">
        <f t="array" ref="T61">SUMPRODUCT(('Data for SPECIATE'!$C$5:$C$26='PM Protocol'!T$1)*('Data for SPECIATE'!$M$1:$AZ$1='PM Protocol'!$A61)*'Data for SPECIATE'!$M$5:$AZ$26)/VLOOKUP(T$1,'Data for SPECIATE'!$C$5:$L$26,10,FALSE)</f>
        <v>0</v>
      </c>
      <c r="U61" s="188" cm="1">
        <f t="array" ref="U61">SUMPRODUCT(('Data for SPECIATE'!$C$5:$C$26='PM Protocol'!U$1)*('Data for SPECIATE'!$M$1:$AZ$1='PM Protocol'!$A61)*'Data for SPECIATE'!$M$5:$AZ$26)/VLOOKUP(U$1,'Data for SPECIATE'!$C$5:$L$26,10,FALSE)</f>
        <v>0</v>
      </c>
      <c r="V61" s="188" cm="1">
        <f t="array" ref="V61">SUMPRODUCT(('Data for SPECIATE'!$C$5:$C$26='PM Protocol'!V$1)*('Data for SPECIATE'!$M$1:$AZ$1='PM Protocol'!$A61)*'Data for SPECIATE'!$M$5:$AZ$26)/VLOOKUP(V$1,'Data for SPECIATE'!$C$5:$L$26,10,FALSE)</f>
        <v>0</v>
      </c>
      <c r="W61" s="188" cm="1">
        <f t="array" ref="W61">SUMPRODUCT(('Data for SPECIATE'!$C$5:$C$26='PM Protocol'!W$1)*('Data for SPECIATE'!$M$1:$AZ$1='PM Protocol'!$A61)*'Data for SPECIATE'!$M$5:$AZ$26)/VLOOKUP(W$1,'Data for SPECIATE'!$C$5:$L$26,10,FALSE)</f>
        <v>0</v>
      </c>
      <c r="X61" s="188" cm="1">
        <f t="array" ref="X61">SUMPRODUCT(('Data for SPECIATE'!$C$5:$C$26='PM Protocol'!X$1)*('Data for SPECIATE'!$M$1:$AZ$1='PM Protocol'!$A61)*'Data for SPECIATE'!$M$5:$AZ$26)/VLOOKUP(X$1,'Data for SPECIATE'!$C$5:$L$26,10,FALSE)</f>
        <v>0</v>
      </c>
      <c r="Y61" s="188" cm="1">
        <f t="array" ref="Y61">SUMPRODUCT(('Data for SPECIATE'!$C$5:$C$26='PM Protocol'!Y$1)*('Data for SPECIATE'!$M$1:$AZ$1='PM Protocol'!$A61)*'Data for SPECIATE'!$M$5:$AZ$26)/VLOOKUP(Y$1,'Data for SPECIATE'!$C$5:$L$26,10,FALSE)</f>
        <v>0</v>
      </c>
      <c r="Z61" s="188" cm="1">
        <f t="array" ref="Z61">SUMPRODUCT(('Data for SPECIATE'!$C$5:$C$26='PM Protocol'!Z$1)*('Data for SPECIATE'!$M$1:$AZ$1='PM Protocol'!$A61)*'Data for SPECIATE'!$M$5:$AZ$26)/VLOOKUP(Z$1,'Data for SPECIATE'!$C$5:$L$26,10,FALSE)</f>
        <v>0</v>
      </c>
    </row>
    <row r="62" spans="1:26">
      <c r="A62">
        <v>3365</v>
      </c>
      <c r="B62" t="s">
        <v>20</v>
      </c>
      <c r="C62" s="191">
        <f>IFERROR(VLOOKUP(A62,Oxides!$A$2:$G$39,7,FALSE),0)</f>
        <v>0</v>
      </c>
      <c r="D62" t="s">
        <v>720</v>
      </c>
      <c r="E62" s="188" cm="1">
        <f t="array" ref="E62">SUMPRODUCT(('Data for SPECIATE'!$C$5:$C$26='PM Protocol'!E$1)*('Data for SPECIATE'!$M$1:$AZ$1='PM Protocol'!$A62)*'Data for SPECIATE'!$M$5:$AZ$26)/VLOOKUP(E$1,'Data for SPECIATE'!$C$5:$L$26,10,FALSE)</f>
        <v>0</v>
      </c>
      <c r="F62" s="188" cm="1">
        <f t="array" ref="F62">SUMPRODUCT(('Data for SPECIATE'!$C$5:$C$26='PM Protocol'!F$1)*('Data for SPECIATE'!$M$1:$AZ$1='PM Protocol'!$A62)*'Data for SPECIATE'!$M$5:$AZ$26)/VLOOKUP(F$1,'Data for SPECIATE'!$C$5:$L$26,10,FALSE)</f>
        <v>0</v>
      </c>
      <c r="G62" s="188" cm="1">
        <f t="array" ref="G62">SUMPRODUCT(('Data for SPECIATE'!$C$5:$C$26='PM Protocol'!G$1)*('Data for SPECIATE'!$M$1:$AZ$1='PM Protocol'!$A62)*'Data for SPECIATE'!$M$5:$AZ$26)/VLOOKUP(G$1,'Data for SPECIATE'!$C$5:$L$26,10,FALSE)</f>
        <v>0</v>
      </c>
      <c r="H62" s="188" cm="1">
        <f t="array" ref="H62">SUMPRODUCT(('Data for SPECIATE'!$C$5:$C$26='PM Protocol'!H$1)*('Data for SPECIATE'!$M$1:$AZ$1='PM Protocol'!$A62)*'Data for SPECIATE'!$M$5:$AZ$26)/VLOOKUP(H$1,'Data for SPECIATE'!$C$5:$L$26,10,FALSE)</f>
        <v>0</v>
      </c>
      <c r="I62" s="188" cm="1">
        <f t="array" ref="I62">SUMPRODUCT(('Data for SPECIATE'!$C$5:$C$26='PM Protocol'!I$1)*('Data for SPECIATE'!$M$1:$AZ$1='PM Protocol'!$A62)*'Data for SPECIATE'!$M$5:$AZ$26)/VLOOKUP(I$1,'Data for SPECIATE'!$C$5:$L$26,10,FALSE)</f>
        <v>0</v>
      </c>
      <c r="J62" s="188" cm="1">
        <f t="array" ref="J62">SUMPRODUCT(('Data for SPECIATE'!$C$5:$C$26='PM Protocol'!J$1)*('Data for SPECIATE'!$M$1:$AZ$1='PM Protocol'!$A62)*'Data for SPECIATE'!$M$5:$AZ$26)/VLOOKUP(J$1,'Data for SPECIATE'!$C$5:$L$26,10,FALSE)</f>
        <v>0</v>
      </c>
      <c r="K62" s="188" cm="1">
        <f t="array" ref="K62">SUMPRODUCT(('Data for SPECIATE'!$C$5:$C$26='PM Protocol'!K$1)*('Data for SPECIATE'!$M$1:$AZ$1='PM Protocol'!$A62)*'Data for SPECIATE'!$M$5:$AZ$26)/VLOOKUP(K$1,'Data for SPECIATE'!$C$5:$L$26,10,FALSE)</f>
        <v>0</v>
      </c>
      <c r="L62" s="188" cm="1">
        <f t="array" ref="L62">SUMPRODUCT(('Data for SPECIATE'!$C$5:$C$26='PM Protocol'!L$1)*('Data for SPECIATE'!$M$1:$AZ$1='PM Protocol'!$A62)*'Data for SPECIATE'!$M$5:$AZ$26)/VLOOKUP(L$1,'Data for SPECIATE'!$C$5:$L$26,10,FALSE)</f>
        <v>0</v>
      </c>
      <c r="M62" s="188" cm="1">
        <f t="array" ref="M62">SUMPRODUCT(('Data for SPECIATE'!$C$5:$C$26='PM Protocol'!M$1)*('Data for SPECIATE'!$M$1:$AZ$1='PM Protocol'!$A62)*'Data for SPECIATE'!$M$5:$AZ$26)/VLOOKUP(M$1,'Data for SPECIATE'!$C$5:$L$26,10,FALSE)</f>
        <v>0</v>
      </c>
      <c r="N62" s="188" cm="1">
        <f t="array" ref="N62">SUMPRODUCT(('Data for SPECIATE'!$C$5:$C$26='PM Protocol'!N$1)*('Data for SPECIATE'!$M$1:$AZ$1='PM Protocol'!$A62)*'Data for SPECIATE'!$M$5:$AZ$26)/VLOOKUP(N$1,'Data for SPECIATE'!$C$5:$L$26,10,FALSE)</f>
        <v>0</v>
      </c>
      <c r="O62" s="188" cm="1">
        <f t="array" ref="O62">SUMPRODUCT(('Data for SPECIATE'!$C$5:$C$26='PM Protocol'!O$1)*('Data for SPECIATE'!$M$1:$AZ$1='PM Protocol'!$A62)*'Data for SPECIATE'!$M$5:$AZ$26)/VLOOKUP(O$1,'Data for SPECIATE'!$C$5:$L$26,10,FALSE)</f>
        <v>0</v>
      </c>
      <c r="P62" s="188" cm="1">
        <f t="array" ref="P62">SUMPRODUCT(('Data for SPECIATE'!$C$5:$C$26='PM Protocol'!P$1)*('Data for SPECIATE'!$M$1:$AZ$1='PM Protocol'!$A62)*'Data for SPECIATE'!$M$5:$AZ$26)/VLOOKUP(P$1,'Data for SPECIATE'!$C$5:$L$26,10,FALSE)</f>
        <v>0</v>
      </c>
      <c r="Q62" s="188" cm="1">
        <f t="array" ref="Q62">SUMPRODUCT(('Data for SPECIATE'!$C$5:$C$26='PM Protocol'!Q$1)*('Data for SPECIATE'!$M$1:$AZ$1='PM Protocol'!$A62)*'Data for SPECIATE'!$M$5:$AZ$26)/VLOOKUP(Q$1,'Data for SPECIATE'!$C$5:$L$26,10,FALSE)</f>
        <v>0</v>
      </c>
      <c r="R62" s="188" cm="1">
        <f t="array" ref="R62">SUMPRODUCT(('Data for SPECIATE'!$C$5:$C$26='PM Protocol'!R$1)*('Data for SPECIATE'!$M$1:$AZ$1='PM Protocol'!$A62)*'Data for SPECIATE'!$M$5:$AZ$26)/SUMPRODUCT(('Data for SPECIATE'!$C$5:$C$26='PM Protocol'!R$1)*'Data for SPECIATE'!$M$5:$AZ$26)</f>
        <v>0</v>
      </c>
      <c r="S62" s="188" cm="1">
        <f t="array" ref="S62">SUMPRODUCT(('Data for SPECIATE'!$C$5:$C$26='PM Protocol'!S$1)*('Data for SPECIATE'!$M$1:$AZ$1='PM Protocol'!$A62)*'Data for SPECIATE'!$M$5:$AZ$26)/VLOOKUP(S$1,'Data for SPECIATE'!$C$5:$L$26,10,FALSE)</f>
        <v>0</v>
      </c>
      <c r="T62" s="188" cm="1">
        <f t="array" ref="T62">SUMPRODUCT(('Data for SPECIATE'!$C$5:$C$26='PM Protocol'!T$1)*('Data for SPECIATE'!$M$1:$AZ$1='PM Protocol'!$A62)*'Data for SPECIATE'!$M$5:$AZ$26)/VLOOKUP(T$1,'Data for SPECIATE'!$C$5:$L$26,10,FALSE)</f>
        <v>0</v>
      </c>
      <c r="U62" s="188" cm="1">
        <f t="array" ref="U62">SUMPRODUCT(('Data for SPECIATE'!$C$5:$C$26='PM Protocol'!U$1)*('Data for SPECIATE'!$M$1:$AZ$1='PM Protocol'!$A62)*'Data for SPECIATE'!$M$5:$AZ$26)/VLOOKUP(U$1,'Data for SPECIATE'!$C$5:$L$26,10,FALSE)</f>
        <v>0</v>
      </c>
      <c r="V62" s="188" cm="1">
        <f t="array" ref="V62">SUMPRODUCT(('Data for SPECIATE'!$C$5:$C$26='PM Protocol'!V$1)*('Data for SPECIATE'!$M$1:$AZ$1='PM Protocol'!$A62)*'Data for SPECIATE'!$M$5:$AZ$26)/VLOOKUP(V$1,'Data for SPECIATE'!$C$5:$L$26,10,FALSE)</f>
        <v>0</v>
      </c>
      <c r="W62" s="188" cm="1">
        <f t="array" ref="W62">SUMPRODUCT(('Data for SPECIATE'!$C$5:$C$26='PM Protocol'!W$1)*('Data for SPECIATE'!$M$1:$AZ$1='PM Protocol'!$A62)*'Data for SPECIATE'!$M$5:$AZ$26)/VLOOKUP(W$1,'Data for SPECIATE'!$C$5:$L$26,10,FALSE)</f>
        <v>0</v>
      </c>
      <c r="X62" s="188" cm="1">
        <f t="array" ref="X62">SUMPRODUCT(('Data for SPECIATE'!$C$5:$C$26='PM Protocol'!X$1)*('Data for SPECIATE'!$M$1:$AZ$1='PM Protocol'!$A62)*'Data for SPECIATE'!$M$5:$AZ$26)/VLOOKUP(X$1,'Data for SPECIATE'!$C$5:$L$26,10,FALSE)</f>
        <v>0</v>
      </c>
      <c r="Y62" s="188" cm="1">
        <f t="array" ref="Y62">SUMPRODUCT(('Data for SPECIATE'!$C$5:$C$26='PM Protocol'!Y$1)*('Data for SPECIATE'!$M$1:$AZ$1='PM Protocol'!$A62)*'Data for SPECIATE'!$M$5:$AZ$26)/VLOOKUP(Y$1,'Data for SPECIATE'!$C$5:$L$26,10,FALSE)</f>
        <v>0</v>
      </c>
      <c r="Z62" s="188" cm="1">
        <f t="array" ref="Z62">SUMPRODUCT(('Data for SPECIATE'!$C$5:$C$26='PM Protocol'!Z$1)*('Data for SPECIATE'!$M$1:$AZ$1='PM Protocol'!$A62)*'Data for SPECIATE'!$M$5:$AZ$26)/VLOOKUP(Z$1,'Data for SPECIATE'!$C$5:$L$26,10,FALSE)</f>
        <v>0</v>
      </c>
    </row>
    <row r="63" spans="1:26">
      <c r="A63">
        <v>3372</v>
      </c>
      <c r="B63" t="s">
        <v>20</v>
      </c>
      <c r="C63" s="191">
        <f>IFERROR(VLOOKUP(A63,Oxides!$A$2:$G$39,7,FALSE),0)</f>
        <v>0</v>
      </c>
      <c r="D63" t="s">
        <v>721</v>
      </c>
      <c r="E63" s="188" cm="1">
        <f t="array" ref="E63">SUMPRODUCT(('Data for SPECIATE'!$C$5:$C$26='PM Protocol'!E$1)*('Data for SPECIATE'!$M$1:$AZ$1='PM Protocol'!$A63)*'Data for SPECIATE'!$M$5:$AZ$26)/VLOOKUP(E$1,'Data for SPECIATE'!$C$5:$L$26,10,FALSE)</f>
        <v>0</v>
      </c>
      <c r="F63" s="188" cm="1">
        <f t="array" ref="F63">SUMPRODUCT(('Data for SPECIATE'!$C$5:$C$26='PM Protocol'!F$1)*('Data for SPECIATE'!$M$1:$AZ$1='PM Protocol'!$A63)*'Data for SPECIATE'!$M$5:$AZ$26)/VLOOKUP(F$1,'Data for SPECIATE'!$C$5:$L$26,10,FALSE)</f>
        <v>0</v>
      </c>
      <c r="G63" s="188" cm="1">
        <f t="array" ref="G63">SUMPRODUCT(('Data for SPECIATE'!$C$5:$C$26='PM Protocol'!G$1)*('Data for SPECIATE'!$M$1:$AZ$1='PM Protocol'!$A63)*'Data for SPECIATE'!$M$5:$AZ$26)/VLOOKUP(G$1,'Data for SPECIATE'!$C$5:$L$26,10,FALSE)</f>
        <v>0</v>
      </c>
      <c r="H63" s="188" cm="1">
        <f t="array" ref="H63">SUMPRODUCT(('Data for SPECIATE'!$C$5:$C$26='PM Protocol'!H$1)*('Data for SPECIATE'!$M$1:$AZ$1='PM Protocol'!$A63)*'Data for SPECIATE'!$M$5:$AZ$26)/VLOOKUP(H$1,'Data for SPECIATE'!$C$5:$L$26,10,FALSE)</f>
        <v>0</v>
      </c>
      <c r="I63" s="188" cm="1">
        <f t="array" ref="I63">SUMPRODUCT(('Data for SPECIATE'!$C$5:$C$26='PM Protocol'!I$1)*('Data for SPECIATE'!$M$1:$AZ$1='PM Protocol'!$A63)*'Data for SPECIATE'!$M$5:$AZ$26)/VLOOKUP(I$1,'Data for SPECIATE'!$C$5:$L$26,10,FALSE)</f>
        <v>0</v>
      </c>
      <c r="J63" s="188" cm="1">
        <f t="array" ref="J63">SUMPRODUCT(('Data for SPECIATE'!$C$5:$C$26='PM Protocol'!J$1)*('Data for SPECIATE'!$M$1:$AZ$1='PM Protocol'!$A63)*'Data for SPECIATE'!$M$5:$AZ$26)/VLOOKUP(J$1,'Data for SPECIATE'!$C$5:$L$26,10,FALSE)</f>
        <v>0</v>
      </c>
      <c r="K63" s="188" cm="1">
        <f t="array" ref="K63">SUMPRODUCT(('Data for SPECIATE'!$C$5:$C$26='PM Protocol'!K$1)*('Data for SPECIATE'!$M$1:$AZ$1='PM Protocol'!$A63)*'Data for SPECIATE'!$M$5:$AZ$26)/VLOOKUP(K$1,'Data for SPECIATE'!$C$5:$L$26,10,FALSE)</f>
        <v>0</v>
      </c>
      <c r="L63" s="188" cm="1">
        <f t="array" ref="L63">SUMPRODUCT(('Data for SPECIATE'!$C$5:$C$26='PM Protocol'!L$1)*('Data for SPECIATE'!$M$1:$AZ$1='PM Protocol'!$A63)*'Data for SPECIATE'!$M$5:$AZ$26)/VLOOKUP(L$1,'Data for SPECIATE'!$C$5:$L$26,10,FALSE)</f>
        <v>0</v>
      </c>
      <c r="M63" s="188" cm="1">
        <f t="array" ref="M63">SUMPRODUCT(('Data for SPECIATE'!$C$5:$C$26='PM Protocol'!M$1)*('Data for SPECIATE'!$M$1:$AZ$1='PM Protocol'!$A63)*'Data for SPECIATE'!$M$5:$AZ$26)/VLOOKUP(M$1,'Data for SPECIATE'!$C$5:$L$26,10,FALSE)</f>
        <v>0</v>
      </c>
      <c r="N63" s="188" cm="1">
        <f t="array" ref="N63">SUMPRODUCT(('Data for SPECIATE'!$C$5:$C$26='PM Protocol'!N$1)*('Data for SPECIATE'!$M$1:$AZ$1='PM Protocol'!$A63)*'Data for SPECIATE'!$M$5:$AZ$26)/VLOOKUP(N$1,'Data for SPECIATE'!$C$5:$L$26,10,FALSE)</f>
        <v>0</v>
      </c>
      <c r="O63" s="188" cm="1">
        <f t="array" ref="O63">SUMPRODUCT(('Data for SPECIATE'!$C$5:$C$26='PM Protocol'!O$1)*('Data for SPECIATE'!$M$1:$AZ$1='PM Protocol'!$A63)*'Data for SPECIATE'!$M$5:$AZ$26)/VLOOKUP(O$1,'Data for SPECIATE'!$C$5:$L$26,10,FALSE)</f>
        <v>0</v>
      </c>
      <c r="P63" s="188" cm="1">
        <f t="array" ref="P63">SUMPRODUCT(('Data for SPECIATE'!$C$5:$C$26='PM Protocol'!P$1)*('Data for SPECIATE'!$M$1:$AZ$1='PM Protocol'!$A63)*'Data for SPECIATE'!$M$5:$AZ$26)/VLOOKUP(P$1,'Data for SPECIATE'!$C$5:$L$26,10,FALSE)</f>
        <v>0</v>
      </c>
      <c r="Q63" s="188" cm="1">
        <f t="array" ref="Q63">SUMPRODUCT(('Data for SPECIATE'!$C$5:$C$26='PM Protocol'!Q$1)*('Data for SPECIATE'!$M$1:$AZ$1='PM Protocol'!$A63)*'Data for SPECIATE'!$M$5:$AZ$26)/VLOOKUP(Q$1,'Data for SPECIATE'!$C$5:$L$26,10,FALSE)</f>
        <v>0</v>
      </c>
      <c r="R63" s="188" cm="1">
        <f t="array" ref="R63">SUMPRODUCT(('Data for SPECIATE'!$C$5:$C$26='PM Protocol'!R$1)*('Data for SPECIATE'!$M$1:$AZ$1='PM Protocol'!$A63)*'Data for SPECIATE'!$M$5:$AZ$26)/SUMPRODUCT(('Data for SPECIATE'!$C$5:$C$26='PM Protocol'!R$1)*'Data for SPECIATE'!$M$5:$AZ$26)</f>
        <v>0</v>
      </c>
      <c r="S63" s="188" cm="1">
        <f t="array" ref="S63">SUMPRODUCT(('Data for SPECIATE'!$C$5:$C$26='PM Protocol'!S$1)*('Data for SPECIATE'!$M$1:$AZ$1='PM Protocol'!$A63)*'Data for SPECIATE'!$M$5:$AZ$26)/VLOOKUP(S$1,'Data for SPECIATE'!$C$5:$L$26,10,FALSE)</f>
        <v>0</v>
      </c>
      <c r="T63" s="188" cm="1">
        <f t="array" ref="T63">SUMPRODUCT(('Data for SPECIATE'!$C$5:$C$26='PM Protocol'!T$1)*('Data for SPECIATE'!$M$1:$AZ$1='PM Protocol'!$A63)*'Data for SPECIATE'!$M$5:$AZ$26)/VLOOKUP(T$1,'Data for SPECIATE'!$C$5:$L$26,10,FALSE)</f>
        <v>0</v>
      </c>
      <c r="U63" s="188" cm="1">
        <f t="array" ref="U63">SUMPRODUCT(('Data for SPECIATE'!$C$5:$C$26='PM Protocol'!U$1)*('Data for SPECIATE'!$M$1:$AZ$1='PM Protocol'!$A63)*'Data for SPECIATE'!$M$5:$AZ$26)/VLOOKUP(U$1,'Data for SPECIATE'!$C$5:$L$26,10,FALSE)</f>
        <v>0</v>
      </c>
      <c r="V63" s="188" cm="1">
        <f t="array" ref="V63">SUMPRODUCT(('Data for SPECIATE'!$C$5:$C$26='PM Protocol'!V$1)*('Data for SPECIATE'!$M$1:$AZ$1='PM Protocol'!$A63)*'Data for SPECIATE'!$M$5:$AZ$26)/VLOOKUP(V$1,'Data for SPECIATE'!$C$5:$L$26,10,FALSE)</f>
        <v>0</v>
      </c>
      <c r="W63" s="188" cm="1">
        <f t="array" ref="W63">SUMPRODUCT(('Data for SPECIATE'!$C$5:$C$26='PM Protocol'!W$1)*('Data for SPECIATE'!$M$1:$AZ$1='PM Protocol'!$A63)*'Data for SPECIATE'!$M$5:$AZ$26)/VLOOKUP(W$1,'Data for SPECIATE'!$C$5:$L$26,10,FALSE)</f>
        <v>0</v>
      </c>
      <c r="X63" s="188" cm="1">
        <f t="array" ref="X63">SUMPRODUCT(('Data for SPECIATE'!$C$5:$C$26='PM Protocol'!X$1)*('Data for SPECIATE'!$M$1:$AZ$1='PM Protocol'!$A63)*'Data for SPECIATE'!$M$5:$AZ$26)/VLOOKUP(X$1,'Data for SPECIATE'!$C$5:$L$26,10,FALSE)</f>
        <v>0</v>
      </c>
      <c r="Y63" s="188" cm="1">
        <f t="array" ref="Y63">SUMPRODUCT(('Data for SPECIATE'!$C$5:$C$26='PM Protocol'!Y$1)*('Data for SPECIATE'!$M$1:$AZ$1='PM Protocol'!$A63)*'Data for SPECIATE'!$M$5:$AZ$26)/VLOOKUP(Y$1,'Data for SPECIATE'!$C$5:$L$26,10,FALSE)</f>
        <v>0</v>
      </c>
      <c r="Z63" s="188" cm="1">
        <f t="array" ref="Z63">SUMPRODUCT(('Data for SPECIATE'!$C$5:$C$26='PM Protocol'!Z$1)*('Data for SPECIATE'!$M$1:$AZ$1='PM Protocol'!$A63)*'Data for SPECIATE'!$M$5:$AZ$26)/VLOOKUP(Z$1,'Data for SPECIATE'!$C$5:$L$26,10,FALSE)</f>
        <v>0</v>
      </c>
    </row>
    <row r="64" spans="1:26">
      <c r="A64">
        <v>3373</v>
      </c>
      <c r="B64" t="s">
        <v>20</v>
      </c>
      <c r="C64" s="191">
        <f>IFERROR(VLOOKUP(A64,Oxides!$A$2:$G$39,7,FALSE),0)</f>
        <v>0</v>
      </c>
      <c r="D64" t="s">
        <v>722</v>
      </c>
      <c r="E64" s="188" cm="1">
        <f t="array" ref="E64">SUMPRODUCT(('Data for SPECIATE'!$C$5:$C$26='PM Protocol'!E$1)*('Data for SPECIATE'!$M$1:$AZ$1='PM Protocol'!$A64)*'Data for SPECIATE'!$M$5:$AZ$26)/VLOOKUP(E$1,'Data for SPECIATE'!$C$5:$L$26,10,FALSE)</f>
        <v>0</v>
      </c>
      <c r="F64" s="188" cm="1">
        <f t="array" ref="F64">SUMPRODUCT(('Data for SPECIATE'!$C$5:$C$26='PM Protocol'!F$1)*('Data for SPECIATE'!$M$1:$AZ$1='PM Protocol'!$A64)*'Data for SPECIATE'!$M$5:$AZ$26)/VLOOKUP(F$1,'Data for SPECIATE'!$C$5:$L$26,10,FALSE)</f>
        <v>0</v>
      </c>
      <c r="G64" s="188" cm="1">
        <f t="array" ref="G64">SUMPRODUCT(('Data for SPECIATE'!$C$5:$C$26='PM Protocol'!G$1)*('Data for SPECIATE'!$M$1:$AZ$1='PM Protocol'!$A64)*'Data for SPECIATE'!$M$5:$AZ$26)/VLOOKUP(G$1,'Data for SPECIATE'!$C$5:$L$26,10,FALSE)</f>
        <v>0</v>
      </c>
      <c r="H64" s="188" cm="1">
        <f t="array" ref="H64">SUMPRODUCT(('Data for SPECIATE'!$C$5:$C$26='PM Protocol'!H$1)*('Data for SPECIATE'!$M$1:$AZ$1='PM Protocol'!$A64)*'Data for SPECIATE'!$M$5:$AZ$26)/VLOOKUP(H$1,'Data for SPECIATE'!$C$5:$L$26,10,FALSE)</f>
        <v>0</v>
      </c>
      <c r="I64" s="188" cm="1">
        <f t="array" ref="I64">SUMPRODUCT(('Data for SPECIATE'!$C$5:$C$26='PM Protocol'!I$1)*('Data for SPECIATE'!$M$1:$AZ$1='PM Protocol'!$A64)*'Data for SPECIATE'!$M$5:$AZ$26)/VLOOKUP(I$1,'Data for SPECIATE'!$C$5:$L$26,10,FALSE)</f>
        <v>0</v>
      </c>
      <c r="J64" s="188" cm="1">
        <f t="array" ref="J64">SUMPRODUCT(('Data for SPECIATE'!$C$5:$C$26='PM Protocol'!J$1)*('Data for SPECIATE'!$M$1:$AZ$1='PM Protocol'!$A64)*'Data for SPECIATE'!$M$5:$AZ$26)/VLOOKUP(J$1,'Data for SPECIATE'!$C$5:$L$26,10,FALSE)</f>
        <v>0</v>
      </c>
      <c r="K64" s="188" cm="1">
        <f t="array" ref="K64">SUMPRODUCT(('Data for SPECIATE'!$C$5:$C$26='PM Protocol'!K$1)*('Data for SPECIATE'!$M$1:$AZ$1='PM Protocol'!$A64)*'Data for SPECIATE'!$M$5:$AZ$26)/VLOOKUP(K$1,'Data for SPECIATE'!$C$5:$L$26,10,FALSE)</f>
        <v>0</v>
      </c>
      <c r="L64" s="188" cm="1">
        <f t="array" ref="L64">SUMPRODUCT(('Data for SPECIATE'!$C$5:$C$26='PM Protocol'!L$1)*('Data for SPECIATE'!$M$1:$AZ$1='PM Protocol'!$A64)*'Data for SPECIATE'!$M$5:$AZ$26)/VLOOKUP(L$1,'Data for SPECIATE'!$C$5:$L$26,10,FALSE)</f>
        <v>0</v>
      </c>
      <c r="M64" s="188" cm="1">
        <f t="array" ref="M64">SUMPRODUCT(('Data for SPECIATE'!$C$5:$C$26='PM Protocol'!M$1)*('Data for SPECIATE'!$M$1:$AZ$1='PM Protocol'!$A64)*'Data for SPECIATE'!$M$5:$AZ$26)/VLOOKUP(M$1,'Data for SPECIATE'!$C$5:$L$26,10,FALSE)</f>
        <v>0</v>
      </c>
      <c r="N64" s="188" cm="1">
        <f t="array" ref="N64">SUMPRODUCT(('Data for SPECIATE'!$C$5:$C$26='PM Protocol'!N$1)*('Data for SPECIATE'!$M$1:$AZ$1='PM Protocol'!$A64)*'Data for SPECIATE'!$M$5:$AZ$26)/VLOOKUP(N$1,'Data for SPECIATE'!$C$5:$L$26,10,FALSE)</f>
        <v>0</v>
      </c>
      <c r="O64" s="188" cm="1">
        <f t="array" ref="O64">SUMPRODUCT(('Data for SPECIATE'!$C$5:$C$26='PM Protocol'!O$1)*('Data for SPECIATE'!$M$1:$AZ$1='PM Protocol'!$A64)*'Data for SPECIATE'!$M$5:$AZ$26)/VLOOKUP(O$1,'Data for SPECIATE'!$C$5:$L$26,10,FALSE)</f>
        <v>0</v>
      </c>
      <c r="P64" s="188" cm="1">
        <f t="array" ref="P64">SUMPRODUCT(('Data for SPECIATE'!$C$5:$C$26='PM Protocol'!P$1)*('Data for SPECIATE'!$M$1:$AZ$1='PM Protocol'!$A64)*'Data for SPECIATE'!$M$5:$AZ$26)/VLOOKUP(P$1,'Data for SPECIATE'!$C$5:$L$26,10,FALSE)</f>
        <v>0</v>
      </c>
      <c r="Q64" s="188" cm="1">
        <f t="array" ref="Q64">SUMPRODUCT(('Data for SPECIATE'!$C$5:$C$26='PM Protocol'!Q$1)*('Data for SPECIATE'!$M$1:$AZ$1='PM Protocol'!$A64)*'Data for SPECIATE'!$M$5:$AZ$26)/VLOOKUP(Q$1,'Data for SPECIATE'!$C$5:$L$26,10,FALSE)</f>
        <v>0</v>
      </c>
      <c r="R64" s="188" cm="1">
        <f t="array" ref="R64">SUMPRODUCT(('Data for SPECIATE'!$C$5:$C$26='PM Protocol'!R$1)*('Data for SPECIATE'!$M$1:$AZ$1='PM Protocol'!$A64)*'Data for SPECIATE'!$M$5:$AZ$26)/SUMPRODUCT(('Data for SPECIATE'!$C$5:$C$26='PM Protocol'!R$1)*'Data for SPECIATE'!$M$5:$AZ$26)</f>
        <v>0</v>
      </c>
      <c r="S64" s="188" cm="1">
        <f t="array" ref="S64">SUMPRODUCT(('Data for SPECIATE'!$C$5:$C$26='PM Protocol'!S$1)*('Data for SPECIATE'!$M$1:$AZ$1='PM Protocol'!$A64)*'Data for SPECIATE'!$M$5:$AZ$26)/VLOOKUP(S$1,'Data for SPECIATE'!$C$5:$L$26,10,FALSE)</f>
        <v>0</v>
      </c>
      <c r="T64" s="188" cm="1">
        <f t="array" ref="T64">SUMPRODUCT(('Data for SPECIATE'!$C$5:$C$26='PM Protocol'!T$1)*('Data for SPECIATE'!$M$1:$AZ$1='PM Protocol'!$A64)*'Data for SPECIATE'!$M$5:$AZ$26)/VLOOKUP(T$1,'Data for SPECIATE'!$C$5:$L$26,10,FALSE)</f>
        <v>0</v>
      </c>
      <c r="U64" s="188" cm="1">
        <f t="array" ref="U64">SUMPRODUCT(('Data for SPECIATE'!$C$5:$C$26='PM Protocol'!U$1)*('Data for SPECIATE'!$M$1:$AZ$1='PM Protocol'!$A64)*'Data for SPECIATE'!$M$5:$AZ$26)/VLOOKUP(U$1,'Data for SPECIATE'!$C$5:$L$26,10,FALSE)</f>
        <v>0</v>
      </c>
      <c r="V64" s="188" cm="1">
        <f t="array" ref="V64">SUMPRODUCT(('Data for SPECIATE'!$C$5:$C$26='PM Protocol'!V$1)*('Data for SPECIATE'!$M$1:$AZ$1='PM Protocol'!$A64)*'Data for SPECIATE'!$M$5:$AZ$26)/VLOOKUP(V$1,'Data for SPECIATE'!$C$5:$L$26,10,FALSE)</f>
        <v>0</v>
      </c>
      <c r="W64" s="188" cm="1">
        <f t="array" ref="W64">SUMPRODUCT(('Data for SPECIATE'!$C$5:$C$26='PM Protocol'!W$1)*('Data for SPECIATE'!$M$1:$AZ$1='PM Protocol'!$A64)*'Data for SPECIATE'!$M$5:$AZ$26)/VLOOKUP(W$1,'Data for SPECIATE'!$C$5:$L$26,10,FALSE)</f>
        <v>0</v>
      </c>
      <c r="X64" s="188" cm="1">
        <f t="array" ref="X64">SUMPRODUCT(('Data for SPECIATE'!$C$5:$C$26='PM Protocol'!X$1)*('Data for SPECIATE'!$M$1:$AZ$1='PM Protocol'!$A64)*'Data for SPECIATE'!$M$5:$AZ$26)/VLOOKUP(X$1,'Data for SPECIATE'!$C$5:$L$26,10,FALSE)</f>
        <v>0</v>
      </c>
      <c r="Y64" s="188" cm="1">
        <f t="array" ref="Y64">SUMPRODUCT(('Data for SPECIATE'!$C$5:$C$26='PM Protocol'!Y$1)*('Data for SPECIATE'!$M$1:$AZ$1='PM Protocol'!$A64)*'Data for SPECIATE'!$M$5:$AZ$26)/VLOOKUP(Y$1,'Data for SPECIATE'!$C$5:$L$26,10,FALSE)</f>
        <v>0</v>
      </c>
      <c r="Z64" s="188" cm="1">
        <f t="array" ref="Z64">SUMPRODUCT(('Data for SPECIATE'!$C$5:$C$26='PM Protocol'!Z$1)*('Data for SPECIATE'!$M$1:$AZ$1='PM Protocol'!$A64)*'Data for SPECIATE'!$M$5:$AZ$26)/VLOOKUP(Z$1,'Data for SPECIATE'!$C$5:$L$26,10,FALSE)</f>
        <v>0</v>
      </c>
    </row>
    <row r="65" spans="1:26">
      <c r="A65">
        <v>3374</v>
      </c>
      <c r="B65" t="s">
        <v>20</v>
      </c>
      <c r="C65" s="191">
        <f>IFERROR(VLOOKUP(A65,Oxides!$A$2:$G$39,7,FALSE),0)</f>
        <v>0</v>
      </c>
      <c r="D65" t="s">
        <v>723</v>
      </c>
      <c r="E65" s="188" cm="1">
        <f t="array" ref="E65">SUMPRODUCT(('Data for SPECIATE'!$C$5:$C$26='PM Protocol'!E$1)*('Data for SPECIATE'!$M$1:$AZ$1='PM Protocol'!$A65)*'Data for SPECIATE'!$M$5:$AZ$26)/VLOOKUP(E$1,'Data for SPECIATE'!$C$5:$L$26,10,FALSE)</f>
        <v>0</v>
      </c>
      <c r="F65" s="188" cm="1">
        <f t="array" ref="F65">SUMPRODUCT(('Data for SPECIATE'!$C$5:$C$26='PM Protocol'!F$1)*('Data for SPECIATE'!$M$1:$AZ$1='PM Protocol'!$A65)*'Data for SPECIATE'!$M$5:$AZ$26)/VLOOKUP(F$1,'Data for SPECIATE'!$C$5:$L$26,10,FALSE)</f>
        <v>0</v>
      </c>
      <c r="G65" s="188" cm="1">
        <f t="array" ref="G65">SUMPRODUCT(('Data for SPECIATE'!$C$5:$C$26='PM Protocol'!G$1)*('Data for SPECIATE'!$M$1:$AZ$1='PM Protocol'!$A65)*'Data for SPECIATE'!$M$5:$AZ$26)/VLOOKUP(G$1,'Data for SPECIATE'!$C$5:$L$26,10,FALSE)</f>
        <v>0</v>
      </c>
      <c r="H65" s="188" cm="1">
        <f t="array" ref="H65">SUMPRODUCT(('Data for SPECIATE'!$C$5:$C$26='PM Protocol'!H$1)*('Data for SPECIATE'!$M$1:$AZ$1='PM Protocol'!$A65)*'Data for SPECIATE'!$M$5:$AZ$26)/VLOOKUP(H$1,'Data for SPECIATE'!$C$5:$L$26,10,FALSE)</f>
        <v>0</v>
      </c>
      <c r="I65" s="188" cm="1">
        <f t="array" ref="I65">SUMPRODUCT(('Data for SPECIATE'!$C$5:$C$26='PM Protocol'!I$1)*('Data for SPECIATE'!$M$1:$AZ$1='PM Protocol'!$A65)*'Data for SPECIATE'!$M$5:$AZ$26)/VLOOKUP(I$1,'Data for SPECIATE'!$C$5:$L$26,10,FALSE)</f>
        <v>0</v>
      </c>
      <c r="J65" s="188" cm="1">
        <f t="array" ref="J65">SUMPRODUCT(('Data for SPECIATE'!$C$5:$C$26='PM Protocol'!J$1)*('Data for SPECIATE'!$M$1:$AZ$1='PM Protocol'!$A65)*'Data for SPECIATE'!$M$5:$AZ$26)/VLOOKUP(J$1,'Data for SPECIATE'!$C$5:$L$26,10,FALSE)</f>
        <v>0</v>
      </c>
      <c r="K65" s="188" cm="1">
        <f t="array" ref="K65">SUMPRODUCT(('Data for SPECIATE'!$C$5:$C$26='PM Protocol'!K$1)*('Data for SPECIATE'!$M$1:$AZ$1='PM Protocol'!$A65)*'Data for SPECIATE'!$M$5:$AZ$26)/VLOOKUP(K$1,'Data for SPECIATE'!$C$5:$L$26,10,FALSE)</f>
        <v>0</v>
      </c>
      <c r="L65" s="188" cm="1">
        <f t="array" ref="L65">SUMPRODUCT(('Data for SPECIATE'!$C$5:$C$26='PM Protocol'!L$1)*('Data for SPECIATE'!$M$1:$AZ$1='PM Protocol'!$A65)*'Data for SPECIATE'!$M$5:$AZ$26)/VLOOKUP(L$1,'Data for SPECIATE'!$C$5:$L$26,10,FALSE)</f>
        <v>0</v>
      </c>
      <c r="M65" s="188" cm="1">
        <f t="array" ref="M65">SUMPRODUCT(('Data for SPECIATE'!$C$5:$C$26='PM Protocol'!M$1)*('Data for SPECIATE'!$M$1:$AZ$1='PM Protocol'!$A65)*'Data for SPECIATE'!$M$5:$AZ$26)/VLOOKUP(M$1,'Data for SPECIATE'!$C$5:$L$26,10,FALSE)</f>
        <v>0</v>
      </c>
      <c r="N65" s="188" cm="1">
        <f t="array" ref="N65">SUMPRODUCT(('Data for SPECIATE'!$C$5:$C$26='PM Protocol'!N$1)*('Data for SPECIATE'!$M$1:$AZ$1='PM Protocol'!$A65)*'Data for SPECIATE'!$M$5:$AZ$26)/VLOOKUP(N$1,'Data for SPECIATE'!$C$5:$L$26,10,FALSE)</f>
        <v>0</v>
      </c>
      <c r="O65" s="188" cm="1">
        <f t="array" ref="O65">SUMPRODUCT(('Data for SPECIATE'!$C$5:$C$26='PM Protocol'!O$1)*('Data for SPECIATE'!$M$1:$AZ$1='PM Protocol'!$A65)*'Data for SPECIATE'!$M$5:$AZ$26)/VLOOKUP(O$1,'Data for SPECIATE'!$C$5:$L$26,10,FALSE)</f>
        <v>0</v>
      </c>
      <c r="P65" s="188" cm="1">
        <f t="array" ref="P65">SUMPRODUCT(('Data for SPECIATE'!$C$5:$C$26='PM Protocol'!P$1)*('Data for SPECIATE'!$M$1:$AZ$1='PM Protocol'!$A65)*'Data for SPECIATE'!$M$5:$AZ$26)/VLOOKUP(P$1,'Data for SPECIATE'!$C$5:$L$26,10,FALSE)</f>
        <v>0</v>
      </c>
      <c r="Q65" s="188" cm="1">
        <f t="array" ref="Q65">SUMPRODUCT(('Data for SPECIATE'!$C$5:$C$26='PM Protocol'!Q$1)*('Data for SPECIATE'!$M$1:$AZ$1='PM Protocol'!$A65)*'Data for SPECIATE'!$M$5:$AZ$26)/VLOOKUP(Q$1,'Data for SPECIATE'!$C$5:$L$26,10,FALSE)</f>
        <v>0</v>
      </c>
      <c r="R65" s="188" cm="1">
        <f t="array" ref="R65">SUMPRODUCT(('Data for SPECIATE'!$C$5:$C$26='PM Protocol'!R$1)*('Data for SPECIATE'!$M$1:$AZ$1='PM Protocol'!$A65)*'Data for SPECIATE'!$M$5:$AZ$26)/SUMPRODUCT(('Data for SPECIATE'!$C$5:$C$26='PM Protocol'!R$1)*'Data for SPECIATE'!$M$5:$AZ$26)</f>
        <v>0</v>
      </c>
      <c r="S65" s="188" cm="1">
        <f t="array" ref="S65">SUMPRODUCT(('Data for SPECIATE'!$C$5:$C$26='PM Protocol'!S$1)*('Data for SPECIATE'!$M$1:$AZ$1='PM Protocol'!$A65)*'Data for SPECIATE'!$M$5:$AZ$26)/VLOOKUP(S$1,'Data for SPECIATE'!$C$5:$L$26,10,FALSE)</f>
        <v>0</v>
      </c>
      <c r="T65" s="188" cm="1">
        <f t="array" ref="T65">SUMPRODUCT(('Data for SPECIATE'!$C$5:$C$26='PM Protocol'!T$1)*('Data for SPECIATE'!$M$1:$AZ$1='PM Protocol'!$A65)*'Data for SPECIATE'!$M$5:$AZ$26)/VLOOKUP(T$1,'Data for SPECIATE'!$C$5:$L$26,10,FALSE)</f>
        <v>0</v>
      </c>
      <c r="U65" s="188" cm="1">
        <f t="array" ref="U65">SUMPRODUCT(('Data for SPECIATE'!$C$5:$C$26='PM Protocol'!U$1)*('Data for SPECIATE'!$M$1:$AZ$1='PM Protocol'!$A65)*'Data for SPECIATE'!$M$5:$AZ$26)/VLOOKUP(U$1,'Data for SPECIATE'!$C$5:$L$26,10,FALSE)</f>
        <v>0</v>
      </c>
      <c r="V65" s="188" cm="1">
        <f t="array" ref="V65">SUMPRODUCT(('Data for SPECIATE'!$C$5:$C$26='PM Protocol'!V$1)*('Data for SPECIATE'!$M$1:$AZ$1='PM Protocol'!$A65)*'Data for SPECIATE'!$M$5:$AZ$26)/VLOOKUP(V$1,'Data for SPECIATE'!$C$5:$L$26,10,FALSE)</f>
        <v>0</v>
      </c>
      <c r="W65" s="188" cm="1">
        <f t="array" ref="W65">SUMPRODUCT(('Data for SPECIATE'!$C$5:$C$26='PM Protocol'!W$1)*('Data for SPECIATE'!$M$1:$AZ$1='PM Protocol'!$A65)*'Data for SPECIATE'!$M$5:$AZ$26)/VLOOKUP(W$1,'Data for SPECIATE'!$C$5:$L$26,10,FALSE)</f>
        <v>0</v>
      </c>
      <c r="X65" s="188" cm="1">
        <f t="array" ref="X65">SUMPRODUCT(('Data for SPECIATE'!$C$5:$C$26='PM Protocol'!X$1)*('Data for SPECIATE'!$M$1:$AZ$1='PM Protocol'!$A65)*'Data for SPECIATE'!$M$5:$AZ$26)/VLOOKUP(X$1,'Data for SPECIATE'!$C$5:$L$26,10,FALSE)</f>
        <v>0</v>
      </c>
      <c r="Y65" s="188" cm="1">
        <f t="array" ref="Y65">SUMPRODUCT(('Data for SPECIATE'!$C$5:$C$26='PM Protocol'!Y$1)*('Data for SPECIATE'!$M$1:$AZ$1='PM Protocol'!$A65)*'Data for SPECIATE'!$M$5:$AZ$26)/VLOOKUP(Y$1,'Data for SPECIATE'!$C$5:$L$26,10,FALSE)</f>
        <v>0</v>
      </c>
      <c r="Z65" s="188" cm="1">
        <f t="array" ref="Z65">SUMPRODUCT(('Data for SPECIATE'!$C$5:$C$26='PM Protocol'!Z$1)*('Data for SPECIATE'!$M$1:$AZ$1='PM Protocol'!$A65)*'Data for SPECIATE'!$M$5:$AZ$26)/VLOOKUP(Z$1,'Data for SPECIATE'!$C$5:$L$26,10,FALSE)</f>
        <v>0</v>
      </c>
    </row>
    <row r="66" spans="1:26">
      <c r="A66">
        <v>3375</v>
      </c>
      <c r="B66" t="s">
        <v>20</v>
      </c>
      <c r="C66" s="191">
        <f>IFERROR(VLOOKUP(A66,Oxides!$A$2:$G$39,7,FALSE),0)</f>
        <v>0</v>
      </c>
      <c r="D66" t="s">
        <v>724</v>
      </c>
      <c r="E66" s="188" cm="1">
        <f t="array" ref="E66">SUMPRODUCT(('Data for SPECIATE'!$C$5:$C$26='PM Protocol'!E$1)*('Data for SPECIATE'!$M$1:$AZ$1='PM Protocol'!$A66)*'Data for SPECIATE'!$M$5:$AZ$26)/VLOOKUP(E$1,'Data for SPECIATE'!$C$5:$L$26,10,FALSE)</f>
        <v>0</v>
      </c>
      <c r="F66" s="188" cm="1">
        <f t="array" ref="F66">SUMPRODUCT(('Data for SPECIATE'!$C$5:$C$26='PM Protocol'!F$1)*('Data for SPECIATE'!$M$1:$AZ$1='PM Protocol'!$A66)*'Data for SPECIATE'!$M$5:$AZ$26)/VLOOKUP(F$1,'Data for SPECIATE'!$C$5:$L$26,10,FALSE)</f>
        <v>0</v>
      </c>
      <c r="G66" s="188" cm="1">
        <f t="array" ref="G66">SUMPRODUCT(('Data for SPECIATE'!$C$5:$C$26='PM Protocol'!G$1)*('Data for SPECIATE'!$M$1:$AZ$1='PM Protocol'!$A66)*'Data for SPECIATE'!$M$5:$AZ$26)/VLOOKUP(G$1,'Data for SPECIATE'!$C$5:$L$26,10,FALSE)</f>
        <v>0</v>
      </c>
      <c r="H66" s="188" cm="1">
        <f t="array" ref="H66">SUMPRODUCT(('Data for SPECIATE'!$C$5:$C$26='PM Protocol'!H$1)*('Data for SPECIATE'!$M$1:$AZ$1='PM Protocol'!$A66)*'Data for SPECIATE'!$M$5:$AZ$26)/VLOOKUP(H$1,'Data for SPECIATE'!$C$5:$L$26,10,FALSE)</f>
        <v>0</v>
      </c>
      <c r="I66" s="188" cm="1">
        <f t="array" ref="I66">SUMPRODUCT(('Data for SPECIATE'!$C$5:$C$26='PM Protocol'!I$1)*('Data for SPECIATE'!$M$1:$AZ$1='PM Protocol'!$A66)*'Data for SPECIATE'!$M$5:$AZ$26)/VLOOKUP(I$1,'Data for SPECIATE'!$C$5:$L$26,10,FALSE)</f>
        <v>0</v>
      </c>
      <c r="J66" s="188" cm="1">
        <f t="array" ref="J66">SUMPRODUCT(('Data for SPECIATE'!$C$5:$C$26='PM Protocol'!J$1)*('Data for SPECIATE'!$M$1:$AZ$1='PM Protocol'!$A66)*'Data for SPECIATE'!$M$5:$AZ$26)/VLOOKUP(J$1,'Data for SPECIATE'!$C$5:$L$26,10,FALSE)</f>
        <v>0</v>
      </c>
      <c r="K66" s="188" cm="1">
        <f t="array" ref="K66">SUMPRODUCT(('Data for SPECIATE'!$C$5:$C$26='PM Protocol'!K$1)*('Data for SPECIATE'!$M$1:$AZ$1='PM Protocol'!$A66)*'Data for SPECIATE'!$M$5:$AZ$26)/VLOOKUP(K$1,'Data for SPECIATE'!$C$5:$L$26,10,FALSE)</f>
        <v>0</v>
      </c>
      <c r="L66" s="188" cm="1">
        <f t="array" ref="L66">SUMPRODUCT(('Data for SPECIATE'!$C$5:$C$26='PM Protocol'!L$1)*('Data for SPECIATE'!$M$1:$AZ$1='PM Protocol'!$A66)*'Data for SPECIATE'!$M$5:$AZ$26)/VLOOKUP(L$1,'Data for SPECIATE'!$C$5:$L$26,10,FALSE)</f>
        <v>0</v>
      </c>
      <c r="M66" s="188" cm="1">
        <f t="array" ref="M66">SUMPRODUCT(('Data for SPECIATE'!$C$5:$C$26='PM Protocol'!M$1)*('Data for SPECIATE'!$M$1:$AZ$1='PM Protocol'!$A66)*'Data for SPECIATE'!$M$5:$AZ$26)/VLOOKUP(M$1,'Data for SPECIATE'!$C$5:$L$26,10,FALSE)</f>
        <v>0</v>
      </c>
      <c r="N66" s="188" cm="1">
        <f t="array" ref="N66">SUMPRODUCT(('Data for SPECIATE'!$C$5:$C$26='PM Protocol'!N$1)*('Data for SPECIATE'!$M$1:$AZ$1='PM Protocol'!$A66)*'Data for SPECIATE'!$M$5:$AZ$26)/VLOOKUP(N$1,'Data for SPECIATE'!$C$5:$L$26,10,FALSE)</f>
        <v>0</v>
      </c>
      <c r="O66" s="188" cm="1">
        <f t="array" ref="O66">SUMPRODUCT(('Data for SPECIATE'!$C$5:$C$26='PM Protocol'!O$1)*('Data for SPECIATE'!$M$1:$AZ$1='PM Protocol'!$A66)*'Data for SPECIATE'!$M$5:$AZ$26)/VLOOKUP(O$1,'Data for SPECIATE'!$C$5:$L$26,10,FALSE)</f>
        <v>0</v>
      </c>
      <c r="P66" s="188" cm="1">
        <f t="array" ref="P66">SUMPRODUCT(('Data for SPECIATE'!$C$5:$C$26='PM Protocol'!P$1)*('Data for SPECIATE'!$M$1:$AZ$1='PM Protocol'!$A66)*'Data for SPECIATE'!$M$5:$AZ$26)/VLOOKUP(P$1,'Data for SPECIATE'!$C$5:$L$26,10,FALSE)</f>
        <v>0</v>
      </c>
      <c r="Q66" s="188" cm="1">
        <f t="array" ref="Q66">SUMPRODUCT(('Data for SPECIATE'!$C$5:$C$26='PM Protocol'!Q$1)*('Data for SPECIATE'!$M$1:$AZ$1='PM Protocol'!$A66)*'Data for SPECIATE'!$M$5:$AZ$26)/VLOOKUP(Q$1,'Data for SPECIATE'!$C$5:$L$26,10,FALSE)</f>
        <v>0</v>
      </c>
      <c r="R66" s="188" cm="1">
        <f t="array" ref="R66">SUMPRODUCT(('Data for SPECIATE'!$C$5:$C$26='PM Protocol'!R$1)*('Data for SPECIATE'!$M$1:$AZ$1='PM Protocol'!$A66)*'Data for SPECIATE'!$M$5:$AZ$26)/SUMPRODUCT(('Data for SPECIATE'!$C$5:$C$26='PM Protocol'!R$1)*'Data for SPECIATE'!$M$5:$AZ$26)</f>
        <v>0</v>
      </c>
      <c r="S66" s="188" cm="1">
        <f t="array" ref="S66">SUMPRODUCT(('Data for SPECIATE'!$C$5:$C$26='PM Protocol'!S$1)*('Data for SPECIATE'!$M$1:$AZ$1='PM Protocol'!$A66)*'Data for SPECIATE'!$M$5:$AZ$26)/VLOOKUP(S$1,'Data for SPECIATE'!$C$5:$L$26,10,FALSE)</f>
        <v>0</v>
      </c>
      <c r="T66" s="188" cm="1">
        <f t="array" ref="T66">SUMPRODUCT(('Data for SPECIATE'!$C$5:$C$26='PM Protocol'!T$1)*('Data for SPECIATE'!$M$1:$AZ$1='PM Protocol'!$A66)*'Data for SPECIATE'!$M$5:$AZ$26)/VLOOKUP(T$1,'Data for SPECIATE'!$C$5:$L$26,10,FALSE)</f>
        <v>0</v>
      </c>
      <c r="U66" s="188" cm="1">
        <f t="array" ref="U66">SUMPRODUCT(('Data for SPECIATE'!$C$5:$C$26='PM Protocol'!U$1)*('Data for SPECIATE'!$M$1:$AZ$1='PM Protocol'!$A66)*'Data for SPECIATE'!$M$5:$AZ$26)/VLOOKUP(U$1,'Data for SPECIATE'!$C$5:$L$26,10,FALSE)</f>
        <v>0</v>
      </c>
      <c r="V66" s="188" cm="1">
        <f t="array" ref="V66">SUMPRODUCT(('Data for SPECIATE'!$C$5:$C$26='PM Protocol'!V$1)*('Data for SPECIATE'!$M$1:$AZ$1='PM Protocol'!$A66)*'Data for SPECIATE'!$M$5:$AZ$26)/VLOOKUP(V$1,'Data for SPECIATE'!$C$5:$L$26,10,FALSE)</f>
        <v>0</v>
      </c>
      <c r="W66" s="188" cm="1">
        <f t="array" ref="W66">SUMPRODUCT(('Data for SPECIATE'!$C$5:$C$26='PM Protocol'!W$1)*('Data for SPECIATE'!$M$1:$AZ$1='PM Protocol'!$A66)*'Data for SPECIATE'!$M$5:$AZ$26)/VLOOKUP(W$1,'Data for SPECIATE'!$C$5:$L$26,10,FALSE)</f>
        <v>0</v>
      </c>
      <c r="X66" s="188" cm="1">
        <f t="array" ref="X66">SUMPRODUCT(('Data for SPECIATE'!$C$5:$C$26='PM Protocol'!X$1)*('Data for SPECIATE'!$M$1:$AZ$1='PM Protocol'!$A66)*'Data for SPECIATE'!$M$5:$AZ$26)/VLOOKUP(X$1,'Data for SPECIATE'!$C$5:$L$26,10,FALSE)</f>
        <v>0</v>
      </c>
      <c r="Y66" s="188" cm="1">
        <f t="array" ref="Y66">SUMPRODUCT(('Data for SPECIATE'!$C$5:$C$26='PM Protocol'!Y$1)*('Data for SPECIATE'!$M$1:$AZ$1='PM Protocol'!$A66)*'Data for SPECIATE'!$M$5:$AZ$26)/VLOOKUP(Y$1,'Data for SPECIATE'!$C$5:$L$26,10,FALSE)</f>
        <v>0</v>
      </c>
      <c r="Z66" s="188" cm="1">
        <f t="array" ref="Z66">SUMPRODUCT(('Data for SPECIATE'!$C$5:$C$26='PM Protocol'!Z$1)*('Data for SPECIATE'!$M$1:$AZ$1='PM Protocol'!$A66)*'Data for SPECIATE'!$M$5:$AZ$26)/VLOOKUP(Z$1,'Data for SPECIATE'!$C$5:$L$26,10,FALSE)</f>
        <v>0</v>
      </c>
    </row>
    <row r="67" spans="1:26">
      <c r="A67">
        <v>3376</v>
      </c>
      <c r="B67" t="s">
        <v>20</v>
      </c>
      <c r="C67" s="191">
        <f>IFERROR(VLOOKUP(A67,Oxides!$A$2:$G$39,7,FALSE),0)</f>
        <v>0</v>
      </c>
      <c r="D67" t="s">
        <v>725</v>
      </c>
      <c r="E67" s="188" cm="1">
        <f t="array" ref="E67">SUMPRODUCT(('Data for SPECIATE'!$C$5:$C$26='PM Protocol'!E$1)*('Data for SPECIATE'!$M$1:$AZ$1='PM Protocol'!$A67)*'Data for SPECIATE'!$M$5:$AZ$26)/VLOOKUP(E$1,'Data for SPECIATE'!$C$5:$L$26,10,FALSE)</f>
        <v>0</v>
      </c>
      <c r="F67" s="188" cm="1">
        <f t="array" ref="F67">SUMPRODUCT(('Data for SPECIATE'!$C$5:$C$26='PM Protocol'!F$1)*('Data for SPECIATE'!$M$1:$AZ$1='PM Protocol'!$A67)*'Data for SPECIATE'!$M$5:$AZ$26)/VLOOKUP(F$1,'Data for SPECIATE'!$C$5:$L$26,10,FALSE)</f>
        <v>0</v>
      </c>
      <c r="G67" s="188" cm="1">
        <f t="array" ref="G67">SUMPRODUCT(('Data for SPECIATE'!$C$5:$C$26='PM Protocol'!G$1)*('Data for SPECIATE'!$M$1:$AZ$1='PM Protocol'!$A67)*'Data for SPECIATE'!$M$5:$AZ$26)/VLOOKUP(G$1,'Data for SPECIATE'!$C$5:$L$26,10,FALSE)</f>
        <v>0</v>
      </c>
      <c r="H67" s="188" cm="1">
        <f t="array" ref="H67">SUMPRODUCT(('Data for SPECIATE'!$C$5:$C$26='PM Protocol'!H$1)*('Data for SPECIATE'!$M$1:$AZ$1='PM Protocol'!$A67)*'Data for SPECIATE'!$M$5:$AZ$26)/VLOOKUP(H$1,'Data for SPECIATE'!$C$5:$L$26,10,FALSE)</f>
        <v>0</v>
      </c>
      <c r="I67" s="188" cm="1">
        <f t="array" ref="I67">SUMPRODUCT(('Data for SPECIATE'!$C$5:$C$26='PM Protocol'!I$1)*('Data for SPECIATE'!$M$1:$AZ$1='PM Protocol'!$A67)*'Data for SPECIATE'!$M$5:$AZ$26)/VLOOKUP(I$1,'Data for SPECIATE'!$C$5:$L$26,10,FALSE)</f>
        <v>0</v>
      </c>
      <c r="J67" s="188" cm="1">
        <f t="array" ref="J67">SUMPRODUCT(('Data for SPECIATE'!$C$5:$C$26='PM Protocol'!J$1)*('Data for SPECIATE'!$M$1:$AZ$1='PM Protocol'!$A67)*'Data for SPECIATE'!$M$5:$AZ$26)/VLOOKUP(J$1,'Data for SPECIATE'!$C$5:$L$26,10,FALSE)</f>
        <v>0</v>
      </c>
      <c r="K67" s="188" cm="1">
        <f t="array" ref="K67">SUMPRODUCT(('Data for SPECIATE'!$C$5:$C$26='PM Protocol'!K$1)*('Data for SPECIATE'!$M$1:$AZ$1='PM Protocol'!$A67)*'Data for SPECIATE'!$M$5:$AZ$26)/VLOOKUP(K$1,'Data for SPECIATE'!$C$5:$L$26,10,FALSE)</f>
        <v>0</v>
      </c>
      <c r="L67" s="188" cm="1">
        <f t="array" ref="L67">SUMPRODUCT(('Data for SPECIATE'!$C$5:$C$26='PM Protocol'!L$1)*('Data for SPECIATE'!$M$1:$AZ$1='PM Protocol'!$A67)*'Data for SPECIATE'!$M$5:$AZ$26)/VLOOKUP(L$1,'Data for SPECIATE'!$C$5:$L$26,10,FALSE)</f>
        <v>0</v>
      </c>
      <c r="M67" s="188" cm="1">
        <f t="array" ref="M67">SUMPRODUCT(('Data for SPECIATE'!$C$5:$C$26='PM Protocol'!M$1)*('Data for SPECIATE'!$M$1:$AZ$1='PM Protocol'!$A67)*'Data for SPECIATE'!$M$5:$AZ$26)/VLOOKUP(M$1,'Data for SPECIATE'!$C$5:$L$26,10,FALSE)</f>
        <v>0</v>
      </c>
      <c r="N67" s="188" cm="1">
        <f t="array" ref="N67">SUMPRODUCT(('Data for SPECIATE'!$C$5:$C$26='PM Protocol'!N$1)*('Data for SPECIATE'!$M$1:$AZ$1='PM Protocol'!$A67)*'Data for SPECIATE'!$M$5:$AZ$26)/VLOOKUP(N$1,'Data for SPECIATE'!$C$5:$L$26,10,FALSE)</f>
        <v>0</v>
      </c>
      <c r="O67" s="188" cm="1">
        <f t="array" ref="O67">SUMPRODUCT(('Data for SPECIATE'!$C$5:$C$26='PM Protocol'!O$1)*('Data for SPECIATE'!$M$1:$AZ$1='PM Protocol'!$A67)*'Data for SPECIATE'!$M$5:$AZ$26)/VLOOKUP(O$1,'Data for SPECIATE'!$C$5:$L$26,10,FALSE)</f>
        <v>0</v>
      </c>
      <c r="P67" s="188" cm="1">
        <f t="array" ref="P67">SUMPRODUCT(('Data for SPECIATE'!$C$5:$C$26='PM Protocol'!P$1)*('Data for SPECIATE'!$M$1:$AZ$1='PM Protocol'!$A67)*'Data for SPECIATE'!$M$5:$AZ$26)/VLOOKUP(P$1,'Data for SPECIATE'!$C$5:$L$26,10,FALSE)</f>
        <v>0</v>
      </c>
      <c r="Q67" s="188" cm="1">
        <f t="array" ref="Q67">SUMPRODUCT(('Data for SPECIATE'!$C$5:$C$26='PM Protocol'!Q$1)*('Data for SPECIATE'!$M$1:$AZ$1='PM Protocol'!$A67)*'Data for SPECIATE'!$M$5:$AZ$26)/VLOOKUP(Q$1,'Data for SPECIATE'!$C$5:$L$26,10,FALSE)</f>
        <v>0</v>
      </c>
      <c r="R67" s="188" cm="1">
        <f t="array" ref="R67">SUMPRODUCT(('Data for SPECIATE'!$C$5:$C$26='PM Protocol'!R$1)*('Data for SPECIATE'!$M$1:$AZ$1='PM Protocol'!$A67)*'Data for SPECIATE'!$M$5:$AZ$26)/SUMPRODUCT(('Data for SPECIATE'!$C$5:$C$26='PM Protocol'!R$1)*'Data for SPECIATE'!$M$5:$AZ$26)</f>
        <v>0</v>
      </c>
      <c r="S67" s="188" cm="1">
        <f t="array" ref="S67">SUMPRODUCT(('Data for SPECIATE'!$C$5:$C$26='PM Protocol'!S$1)*('Data for SPECIATE'!$M$1:$AZ$1='PM Protocol'!$A67)*'Data for SPECIATE'!$M$5:$AZ$26)/VLOOKUP(S$1,'Data for SPECIATE'!$C$5:$L$26,10,FALSE)</f>
        <v>0</v>
      </c>
      <c r="T67" s="188" cm="1">
        <f t="array" ref="T67">SUMPRODUCT(('Data for SPECIATE'!$C$5:$C$26='PM Protocol'!T$1)*('Data for SPECIATE'!$M$1:$AZ$1='PM Protocol'!$A67)*'Data for SPECIATE'!$M$5:$AZ$26)/VLOOKUP(T$1,'Data for SPECIATE'!$C$5:$L$26,10,FALSE)</f>
        <v>0</v>
      </c>
      <c r="U67" s="188" cm="1">
        <f t="array" ref="U67">SUMPRODUCT(('Data for SPECIATE'!$C$5:$C$26='PM Protocol'!U$1)*('Data for SPECIATE'!$M$1:$AZ$1='PM Protocol'!$A67)*'Data for SPECIATE'!$M$5:$AZ$26)/VLOOKUP(U$1,'Data for SPECIATE'!$C$5:$L$26,10,FALSE)</f>
        <v>0</v>
      </c>
      <c r="V67" s="188" cm="1">
        <f t="array" ref="V67">SUMPRODUCT(('Data for SPECIATE'!$C$5:$C$26='PM Protocol'!V$1)*('Data for SPECIATE'!$M$1:$AZ$1='PM Protocol'!$A67)*'Data for SPECIATE'!$M$5:$AZ$26)/VLOOKUP(V$1,'Data for SPECIATE'!$C$5:$L$26,10,FALSE)</f>
        <v>0</v>
      </c>
      <c r="W67" s="188" cm="1">
        <f t="array" ref="W67">SUMPRODUCT(('Data for SPECIATE'!$C$5:$C$26='PM Protocol'!W$1)*('Data for SPECIATE'!$M$1:$AZ$1='PM Protocol'!$A67)*'Data for SPECIATE'!$M$5:$AZ$26)/VLOOKUP(W$1,'Data for SPECIATE'!$C$5:$L$26,10,FALSE)</f>
        <v>0</v>
      </c>
      <c r="X67" s="188" cm="1">
        <f t="array" ref="X67">SUMPRODUCT(('Data for SPECIATE'!$C$5:$C$26='PM Protocol'!X$1)*('Data for SPECIATE'!$M$1:$AZ$1='PM Protocol'!$A67)*'Data for SPECIATE'!$M$5:$AZ$26)/VLOOKUP(X$1,'Data for SPECIATE'!$C$5:$L$26,10,FALSE)</f>
        <v>0</v>
      </c>
      <c r="Y67" s="188" cm="1">
        <f t="array" ref="Y67">SUMPRODUCT(('Data for SPECIATE'!$C$5:$C$26='PM Protocol'!Y$1)*('Data for SPECIATE'!$M$1:$AZ$1='PM Protocol'!$A67)*'Data for SPECIATE'!$M$5:$AZ$26)/VLOOKUP(Y$1,'Data for SPECIATE'!$C$5:$L$26,10,FALSE)</f>
        <v>0</v>
      </c>
      <c r="Z67" s="188" cm="1">
        <f t="array" ref="Z67">SUMPRODUCT(('Data for SPECIATE'!$C$5:$C$26='PM Protocol'!Z$1)*('Data for SPECIATE'!$M$1:$AZ$1='PM Protocol'!$A67)*'Data for SPECIATE'!$M$5:$AZ$26)/VLOOKUP(Z$1,'Data for SPECIATE'!$C$5:$L$26,10,FALSE)</f>
        <v>0</v>
      </c>
    </row>
    <row r="68" spans="1:26">
      <c r="A68">
        <v>3383</v>
      </c>
      <c r="B68" t="s">
        <v>20</v>
      </c>
      <c r="C68" s="191">
        <f>IFERROR(VLOOKUP(A68,Oxides!$A$2:$G$39,7,FALSE),0)</f>
        <v>0</v>
      </c>
      <c r="D68" t="s">
        <v>726</v>
      </c>
      <c r="E68" s="188" cm="1">
        <f t="array" ref="E68">SUMPRODUCT(('Data for SPECIATE'!$C$5:$C$26='PM Protocol'!E$1)*('Data for SPECIATE'!$M$1:$AZ$1='PM Protocol'!$A68)*'Data for SPECIATE'!$M$5:$AZ$26)/VLOOKUP(E$1,'Data for SPECIATE'!$C$5:$L$26,10,FALSE)</f>
        <v>0</v>
      </c>
      <c r="F68" s="188" cm="1">
        <f t="array" ref="F68">SUMPRODUCT(('Data for SPECIATE'!$C$5:$C$26='PM Protocol'!F$1)*('Data for SPECIATE'!$M$1:$AZ$1='PM Protocol'!$A68)*'Data for SPECIATE'!$M$5:$AZ$26)/VLOOKUP(F$1,'Data for SPECIATE'!$C$5:$L$26,10,FALSE)</f>
        <v>0</v>
      </c>
      <c r="G68" s="188" cm="1">
        <f t="array" ref="G68">SUMPRODUCT(('Data for SPECIATE'!$C$5:$C$26='PM Protocol'!G$1)*('Data for SPECIATE'!$M$1:$AZ$1='PM Protocol'!$A68)*'Data for SPECIATE'!$M$5:$AZ$26)/VLOOKUP(G$1,'Data for SPECIATE'!$C$5:$L$26,10,FALSE)</f>
        <v>0</v>
      </c>
      <c r="H68" s="188" cm="1">
        <f t="array" ref="H68">SUMPRODUCT(('Data for SPECIATE'!$C$5:$C$26='PM Protocol'!H$1)*('Data for SPECIATE'!$M$1:$AZ$1='PM Protocol'!$A68)*'Data for SPECIATE'!$M$5:$AZ$26)/VLOOKUP(H$1,'Data for SPECIATE'!$C$5:$L$26,10,FALSE)</f>
        <v>0</v>
      </c>
      <c r="I68" s="188" cm="1">
        <f t="array" ref="I68">SUMPRODUCT(('Data for SPECIATE'!$C$5:$C$26='PM Protocol'!I$1)*('Data for SPECIATE'!$M$1:$AZ$1='PM Protocol'!$A68)*'Data for SPECIATE'!$M$5:$AZ$26)/VLOOKUP(I$1,'Data for SPECIATE'!$C$5:$L$26,10,FALSE)</f>
        <v>0</v>
      </c>
      <c r="J68" s="188" cm="1">
        <f t="array" ref="J68">SUMPRODUCT(('Data for SPECIATE'!$C$5:$C$26='PM Protocol'!J$1)*('Data for SPECIATE'!$M$1:$AZ$1='PM Protocol'!$A68)*'Data for SPECIATE'!$M$5:$AZ$26)/VLOOKUP(J$1,'Data for SPECIATE'!$C$5:$L$26,10,FALSE)</f>
        <v>0</v>
      </c>
      <c r="K68" s="188" cm="1">
        <f t="array" ref="K68">SUMPRODUCT(('Data for SPECIATE'!$C$5:$C$26='PM Protocol'!K$1)*('Data for SPECIATE'!$M$1:$AZ$1='PM Protocol'!$A68)*'Data for SPECIATE'!$M$5:$AZ$26)/VLOOKUP(K$1,'Data for SPECIATE'!$C$5:$L$26,10,FALSE)</f>
        <v>0</v>
      </c>
      <c r="L68" s="188" cm="1">
        <f t="array" ref="L68">SUMPRODUCT(('Data for SPECIATE'!$C$5:$C$26='PM Protocol'!L$1)*('Data for SPECIATE'!$M$1:$AZ$1='PM Protocol'!$A68)*'Data for SPECIATE'!$M$5:$AZ$26)/VLOOKUP(L$1,'Data for SPECIATE'!$C$5:$L$26,10,FALSE)</f>
        <v>0</v>
      </c>
      <c r="M68" s="188" cm="1">
        <f t="array" ref="M68">SUMPRODUCT(('Data for SPECIATE'!$C$5:$C$26='PM Protocol'!M$1)*('Data for SPECIATE'!$M$1:$AZ$1='PM Protocol'!$A68)*'Data for SPECIATE'!$M$5:$AZ$26)/VLOOKUP(M$1,'Data for SPECIATE'!$C$5:$L$26,10,FALSE)</f>
        <v>0</v>
      </c>
      <c r="N68" s="188" cm="1">
        <f t="array" ref="N68">SUMPRODUCT(('Data for SPECIATE'!$C$5:$C$26='PM Protocol'!N$1)*('Data for SPECIATE'!$M$1:$AZ$1='PM Protocol'!$A68)*'Data for SPECIATE'!$M$5:$AZ$26)/VLOOKUP(N$1,'Data for SPECIATE'!$C$5:$L$26,10,FALSE)</f>
        <v>0</v>
      </c>
      <c r="O68" s="188" cm="1">
        <f t="array" ref="O68">SUMPRODUCT(('Data for SPECIATE'!$C$5:$C$26='PM Protocol'!O$1)*('Data for SPECIATE'!$M$1:$AZ$1='PM Protocol'!$A68)*'Data for SPECIATE'!$M$5:$AZ$26)/VLOOKUP(O$1,'Data for SPECIATE'!$C$5:$L$26,10,FALSE)</f>
        <v>0</v>
      </c>
      <c r="P68" s="188" cm="1">
        <f t="array" ref="P68">SUMPRODUCT(('Data for SPECIATE'!$C$5:$C$26='PM Protocol'!P$1)*('Data for SPECIATE'!$M$1:$AZ$1='PM Protocol'!$A68)*'Data for SPECIATE'!$M$5:$AZ$26)/VLOOKUP(P$1,'Data for SPECIATE'!$C$5:$L$26,10,FALSE)</f>
        <v>0</v>
      </c>
      <c r="Q68" s="188" cm="1">
        <f t="array" ref="Q68">SUMPRODUCT(('Data for SPECIATE'!$C$5:$C$26='PM Protocol'!Q$1)*('Data for SPECIATE'!$M$1:$AZ$1='PM Protocol'!$A68)*'Data for SPECIATE'!$M$5:$AZ$26)/VLOOKUP(Q$1,'Data for SPECIATE'!$C$5:$L$26,10,FALSE)</f>
        <v>0</v>
      </c>
      <c r="R68" s="188" cm="1">
        <f t="array" ref="R68">SUMPRODUCT(('Data for SPECIATE'!$C$5:$C$26='PM Protocol'!R$1)*('Data for SPECIATE'!$M$1:$AZ$1='PM Protocol'!$A68)*'Data for SPECIATE'!$M$5:$AZ$26)/SUMPRODUCT(('Data for SPECIATE'!$C$5:$C$26='PM Protocol'!R$1)*'Data for SPECIATE'!$M$5:$AZ$26)</f>
        <v>0</v>
      </c>
      <c r="S68" s="188" cm="1">
        <f t="array" ref="S68">SUMPRODUCT(('Data for SPECIATE'!$C$5:$C$26='PM Protocol'!S$1)*('Data for SPECIATE'!$M$1:$AZ$1='PM Protocol'!$A68)*'Data for SPECIATE'!$M$5:$AZ$26)/VLOOKUP(S$1,'Data for SPECIATE'!$C$5:$L$26,10,FALSE)</f>
        <v>0</v>
      </c>
      <c r="T68" s="188" cm="1">
        <f t="array" ref="T68">SUMPRODUCT(('Data for SPECIATE'!$C$5:$C$26='PM Protocol'!T$1)*('Data for SPECIATE'!$M$1:$AZ$1='PM Protocol'!$A68)*'Data for SPECIATE'!$M$5:$AZ$26)/VLOOKUP(T$1,'Data for SPECIATE'!$C$5:$L$26,10,FALSE)</f>
        <v>0</v>
      </c>
      <c r="U68" s="188" cm="1">
        <f t="array" ref="U68">SUMPRODUCT(('Data for SPECIATE'!$C$5:$C$26='PM Protocol'!U$1)*('Data for SPECIATE'!$M$1:$AZ$1='PM Protocol'!$A68)*'Data for SPECIATE'!$M$5:$AZ$26)/VLOOKUP(U$1,'Data for SPECIATE'!$C$5:$L$26,10,FALSE)</f>
        <v>0</v>
      </c>
      <c r="V68" s="188" cm="1">
        <f t="array" ref="V68">SUMPRODUCT(('Data for SPECIATE'!$C$5:$C$26='PM Protocol'!V$1)*('Data for SPECIATE'!$M$1:$AZ$1='PM Protocol'!$A68)*'Data for SPECIATE'!$M$5:$AZ$26)/VLOOKUP(V$1,'Data for SPECIATE'!$C$5:$L$26,10,FALSE)</f>
        <v>0</v>
      </c>
      <c r="W68" s="188" cm="1">
        <f t="array" ref="W68">SUMPRODUCT(('Data for SPECIATE'!$C$5:$C$26='PM Protocol'!W$1)*('Data for SPECIATE'!$M$1:$AZ$1='PM Protocol'!$A68)*'Data for SPECIATE'!$M$5:$AZ$26)/VLOOKUP(W$1,'Data for SPECIATE'!$C$5:$L$26,10,FALSE)</f>
        <v>0</v>
      </c>
      <c r="X68" s="188" cm="1">
        <f t="array" ref="X68">SUMPRODUCT(('Data for SPECIATE'!$C$5:$C$26='PM Protocol'!X$1)*('Data for SPECIATE'!$M$1:$AZ$1='PM Protocol'!$A68)*'Data for SPECIATE'!$M$5:$AZ$26)/VLOOKUP(X$1,'Data for SPECIATE'!$C$5:$L$26,10,FALSE)</f>
        <v>0</v>
      </c>
      <c r="Y68" s="188" cm="1">
        <f t="array" ref="Y68">SUMPRODUCT(('Data for SPECIATE'!$C$5:$C$26='PM Protocol'!Y$1)*('Data for SPECIATE'!$M$1:$AZ$1='PM Protocol'!$A68)*'Data for SPECIATE'!$M$5:$AZ$26)/VLOOKUP(Y$1,'Data for SPECIATE'!$C$5:$L$26,10,FALSE)</f>
        <v>0</v>
      </c>
      <c r="Z68" s="188" cm="1">
        <f t="array" ref="Z68">SUMPRODUCT(('Data for SPECIATE'!$C$5:$C$26='PM Protocol'!Z$1)*('Data for SPECIATE'!$M$1:$AZ$1='PM Protocol'!$A68)*'Data for SPECIATE'!$M$5:$AZ$26)/VLOOKUP(Z$1,'Data for SPECIATE'!$C$5:$L$26,10,FALSE)</f>
        <v>0</v>
      </c>
    </row>
    <row r="69" spans="1:26">
      <c r="A69">
        <v>3384</v>
      </c>
      <c r="B69" t="s">
        <v>20</v>
      </c>
      <c r="C69" s="191">
        <f>IFERROR(VLOOKUP(A69,Oxides!$A$2:$G$39,7,FALSE),0)</f>
        <v>0</v>
      </c>
      <c r="D69" t="s">
        <v>727</v>
      </c>
      <c r="E69" s="188" cm="1">
        <f t="array" ref="E69">SUMPRODUCT(('Data for SPECIATE'!$C$5:$C$26='PM Protocol'!E$1)*('Data for SPECIATE'!$M$1:$AZ$1='PM Protocol'!$A69)*'Data for SPECIATE'!$M$5:$AZ$26)/VLOOKUP(E$1,'Data for SPECIATE'!$C$5:$L$26,10,FALSE)</f>
        <v>0</v>
      </c>
      <c r="F69" s="188" cm="1">
        <f t="array" ref="F69">SUMPRODUCT(('Data for SPECIATE'!$C$5:$C$26='PM Protocol'!F$1)*('Data for SPECIATE'!$M$1:$AZ$1='PM Protocol'!$A69)*'Data for SPECIATE'!$M$5:$AZ$26)/VLOOKUP(F$1,'Data for SPECIATE'!$C$5:$L$26,10,FALSE)</f>
        <v>0</v>
      </c>
      <c r="G69" s="188" cm="1">
        <f t="array" ref="G69">SUMPRODUCT(('Data for SPECIATE'!$C$5:$C$26='PM Protocol'!G$1)*('Data for SPECIATE'!$M$1:$AZ$1='PM Protocol'!$A69)*'Data for SPECIATE'!$M$5:$AZ$26)/VLOOKUP(G$1,'Data for SPECIATE'!$C$5:$L$26,10,FALSE)</f>
        <v>0</v>
      </c>
      <c r="H69" s="188" cm="1">
        <f t="array" ref="H69">SUMPRODUCT(('Data for SPECIATE'!$C$5:$C$26='PM Protocol'!H$1)*('Data for SPECIATE'!$M$1:$AZ$1='PM Protocol'!$A69)*'Data for SPECIATE'!$M$5:$AZ$26)/VLOOKUP(H$1,'Data for SPECIATE'!$C$5:$L$26,10,FALSE)</f>
        <v>0</v>
      </c>
      <c r="I69" s="188" cm="1">
        <f t="array" ref="I69">SUMPRODUCT(('Data for SPECIATE'!$C$5:$C$26='PM Protocol'!I$1)*('Data for SPECIATE'!$M$1:$AZ$1='PM Protocol'!$A69)*'Data for SPECIATE'!$M$5:$AZ$26)/VLOOKUP(I$1,'Data for SPECIATE'!$C$5:$L$26,10,FALSE)</f>
        <v>0</v>
      </c>
      <c r="J69" s="188" cm="1">
        <f t="array" ref="J69">SUMPRODUCT(('Data for SPECIATE'!$C$5:$C$26='PM Protocol'!J$1)*('Data for SPECIATE'!$M$1:$AZ$1='PM Protocol'!$A69)*'Data for SPECIATE'!$M$5:$AZ$26)/VLOOKUP(J$1,'Data for SPECIATE'!$C$5:$L$26,10,FALSE)</f>
        <v>0</v>
      </c>
      <c r="K69" s="188" cm="1">
        <f t="array" ref="K69">SUMPRODUCT(('Data for SPECIATE'!$C$5:$C$26='PM Protocol'!K$1)*('Data for SPECIATE'!$M$1:$AZ$1='PM Protocol'!$A69)*'Data for SPECIATE'!$M$5:$AZ$26)/VLOOKUP(K$1,'Data for SPECIATE'!$C$5:$L$26,10,FALSE)</f>
        <v>0</v>
      </c>
      <c r="L69" s="188" cm="1">
        <f t="array" ref="L69">SUMPRODUCT(('Data for SPECIATE'!$C$5:$C$26='PM Protocol'!L$1)*('Data for SPECIATE'!$M$1:$AZ$1='PM Protocol'!$A69)*'Data for SPECIATE'!$M$5:$AZ$26)/VLOOKUP(L$1,'Data for SPECIATE'!$C$5:$L$26,10,FALSE)</f>
        <v>0</v>
      </c>
      <c r="M69" s="188" cm="1">
        <f t="array" ref="M69">SUMPRODUCT(('Data for SPECIATE'!$C$5:$C$26='PM Protocol'!M$1)*('Data for SPECIATE'!$M$1:$AZ$1='PM Protocol'!$A69)*'Data for SPECIATE'!$M$5:$AZ$26)/VLOOKUP(M$1,'Data for SPECIATE'!$C$5:$L$26,10,FALSE)</f>
        <v>0</v>
      </c>
      <c r="N69" s="188" cm="1">
        <f t="array" ref="N69">SUMPRODUCT(('Data for SPECIATE'!$C$5:$C$26='PM Protocol'!N$1)*('Data for SPECIATE'!$M$1:$AZ$1='PM Protocol'!$A69)*'Data for SPECIATE'!$M$5:$AZ$26)/VLOOKUP(N$1,'Data for SPECIATE'!$C$5:$L$26,10,FALSE)</f>
        <v>0</v>
      </c>
      <c r="O69" s="188" cm="1">
        <f t="array" ref="O69">SUMPRODUCT(('Data for SPECIATE'!$C$5:$C$26='PM Protocol'!O$1)*('Data for SPECIATE'!$M$1:$AZ$1='PM Protocol'!$A69)*'Data for SPECIATE'!$M$5:$AZ$26)/VLOOKUP(O$1,'Data for SPECIATE'!$C$5:$L$26,10,FALSE)</f>
        <v>0</v>
      </c>
      <c r="P69" s="188" cm="1">
        <f t="array" ref="P69">SUMPRODUCT(('Data for SPECIATE'!$C$5:$C$26='PM Protocol'!P$1)*('Data for SPECIATE'!$M$1:$AZ$1='PM Protocol'!$A69)*'Data for SPECIATE'!$M$5:$AZ$26)/VLOOKUP(P$1,'Data for SPECIATE'!$C$5:$L$26,10,FALSE)</f>
        <v>0</v>
      </c>
      <c r="Q69" s="188" cm="1">
        <f t="array" ref="Q69">SUMPRODUCT(('Data for SPECIATE'!$C$5:$C$26='PM Protocol'!Q$1)*('Data for SPECIATE'!$M$1:$AZ$1='PM Protocol'!$A69)*'Data for SPECIATE'!$M$5:$AZ$26)/VLOOKUP(Q$1,'Data for SPECIATE'!$C$5:$L$26,10,FALSE)</f>
        <v>0</v>
      </c>
      <c r="R69" s="188" cm="1">
        <f t="array" ref="R69">SUMPRODUCT(('Data for SPECIATE'!$C$5:$C$26='PM Protocol'!R$1)*('Data for SPECIATE'!$M$1:$AZ$1='PM Protocol'!$A69)*'Data for SPECIATE'!$M$5:$AZ$26)/SUMPRODUCT(('Data for SPECIATE'!$C$5:$C$26='PM Protocol'!R$1)*'Data for SPECIATE'!$M$5:$AZ$26)</f>
        <v>0</v>
      </c>
      <c r="S69" s="188" cm="1">
        <f t="array" ref="S69">SUMPRODUCT(('Data for SPECIATE'!$C$5:$C$26='PM Protocol'!S$1)*('Data for SPECIATE'!$M$1:$AZ$1='PM Protocol'!$A69)*'Data for SPECIATE'!$M$5:$AZ$26)/VLOOKUP(S$1,'Data for SPECIATE'!$C$5:$L$26,10,FALSE)</f>
        <v>0</v>
      </c>
      <c r="T69" s="188" cm="1">
        <f t="array" ref="T69">SUMPRODUCT(('Data for SPECIATE'!$C$5:$C$26='PM Protocol'!T$1)*('Data for SPECIATE'!$M$1:$AZ$1='PM Protocol'!$A69)*'Data for SPECIATE'!$M$5:$AZ$26)/VLOOKUP(T$1,'Data for SPECIATE'!$C$5:$L$26,10,FALSE)</f>
        <v>0</v>
      </c>
      <c r="U69" s="188" cm="1">
        <f t="array" ref="U69">SUMPRODUCT(('Data for SPECIATE'!$C$5:$C$26='PM Protocol'!U$1)*('Data for SPECIATE'!$M$1:$AZ$1='PM Protocol'!$A69)*'Data for SPECIATE'!$M$5:$AZ$26)/VLOOKUP(U$1,'Data for SPECIATE'!$C$5:$L$26,10,FALSE)</f>
        <v>0</v>
      </c>
      <c r="V69" s="188" cm="1">
        <f t="array" ref="V69">SUMPRODUCT(('Data for SPECIATE'!$C$5:$C$26='PM Protocol'!V$1)*('Data for SPECIATE'!$M$1:$AZ$1='PM Protocol'!$A69)*'Data for SPECIATE'!$M$5:$AZ$26)/VLOOKUP(V$1,'Data for SPECIATE'!$C$5:$L$26,10,FALSE)</f>
        <v>0</v>
      </c>
      <c r="W69" s="188" cm="1">
        <f t="array" ref="W69">SUMPRODUCT(('Data for SPECIATE'!$C$5:$C$26='PM Protocol'!W$1)*('Data for SPECIATE'!$M$1:$AZ$1='PM Protocol'!$A69)*'Data for SPECIATE'!$M$5:$AZ$26)/VLOOKUP(W$1,'Data for SPECIATE'!$C$5:$L$26,10,FALSE)</f>
        <v>0</v>
      </c>
      <c r="X69" s="188" cm="1">
        <f t="array" ref="X69">SUMPRODUCT(('Data for SPECIATE'!$C$5:$C$26='PM Protocol'!X$1)*('Data for SPECIATE'!$M$1:$AZ$1='PM Protocol'!$A69)*'Data for SPECIATE'!$M$5:$AZ$26)/VLOOKUP(X$1,'Data for SPECIATE'!$C$5:$L$26,10,FALSE)</f>
        <v>0</v>
      </c>
      <c r="Y69" s="188" cm="1">
        <f t="array" ref="Y69">SUMPRODUCT(('Data for SPECIATE'!$C$5:$C$26='PM Protocol'!Y$1)*('Data for SPECIATE'!$M$1:$AZ$1='PM Protocol'!$A69)*'Data for SPECIATE'!$M$5:$AZ$26)/VLOOKUP(Y$1,'Data for SPECIATE'!$C$5:$L$26,10,FALSE)</f>
        <v>0</v>
      </c>
      <c r="Z69" s="188" cm="1">
        <f t="array" ref="Z69">SUMPRODUCT(('Data for SPECIATE'!$C$5:$C$26='PM Protocol'!Z$1)*('Data for SPECIATE'!$M$1:$AZ$1='PM Protocol'!$A69)*'Data for SPECIATE'!$M$5:$AZ$26)/VLOOKUP(Z$1,'Data for SPECIATE'!$C$5:$L$26,10,FALSE)</f>
        <v>0</v>
      </c>
    </row>
    <row r="70" spans="1:26">
      <c r="A70">
        <v>3385</v>
      </c>
      <c r="B70" t="s">
        <v>20</v>
      </c>
      <c r="C70" s="191">
        <f>IFERROR(VLOOKUP(A70,Oxides!$A$2:$G$39,7,FALSE),0)</f>
        <v>0</v>
      </c>
      <c r="D70" t="s">
        <v>728</v>
      </c>
      <c r="E70" s="188" cm="1">
        <f t="array" ref="E70">SUMPRODUCT(('Data for SPECIATE'!$C$5:$C$26='PM Protocol'!E$1)*('Data for SPECIATE'!$M$1:$AZ$1='PM Protocol'!$A70)*'Data for SPECIATE'!$M$5:$AZ$26)/VLOOKUP(E$1,'Data for SPECIATE'!$C$5:$L$26,10,FALSE)</f>
        <v>0</v>
      </c>
      <c r="F70" s="188" cm="1">
        <f t="array" ref="F70">SUMPRODUCT(('Data for SPECIATE'!$C$5:$C$26='PM Protocol'!F$1)*('Data for SPECIATE'!$M$1:$AZ$1='PM Protocol'!$A70)*'Data for SPECIATE'!$M$5:$AZ$26)/VLOOKUP(F$1,'Data for SPECIATE'!$C$5:$L$26,10,FALSE)</f>
        <v>0</v>
      </c>
      <c r="G70" s="188" cm="1">
        <f t="array" ref="G70">SUMPRODUCT(('Data for SPECIATE'!$C$5:$C$26='PM Protocol'!G$1)*('Data for SPECIATE'!$M$1:$AZ$1='PM Protocol'!$A70)*'Data for SPECIATE'!$M$5:$AZ$26)/VLOOKUP(G$1,'Data for SPECIATE'!$C$5:$L$26,10,FALSE)</f>
        <v>0</v>
      </c>
      <c r="H70" s="188" cm="1">
        <f t="array" ref="H70">SUMPRODUCT(('Data for SPECIATE'!$C$5:$C$26='PM Protocol'!H$1)*('Data for SPECIATE'!$M$1:$AZ$1='PM Protocol'!$A70)*'Data for SPECIATE'!$M$5:$AZ$26)/VLOOKUP(H$1,'Data for SPECIATE'!$C$5:$L$26,10,FALSE)</f>
        <v>0</v>
      </c>
      <c r="I70" s="188" cm="1">
        <f t="array" ref="I70">SUMPRODUCT(('Data for SPECIATE'!$C$5:$C$26='PM Protocol'!I$1)*('Data for SPECIATE'!$M$1:$AZ$1='PM Protocol'!$A70)*'Data for SPECIATE'!$M$5:$AZ$26)/VLOOKUP(I$1,'Data for SPECIATE'!$C$5:$L$26,10,FALSE)</f>
        <v>0</v>
      </c>
      <c r="J70" s="188" cm="1">
        <f t="array" ref="J70">SUMPRODUCT(('Data for SPECIATE'!$C$5:$C$26='PM Protocol'!J$1)*('Data for SPECIATE'!$M$1:$AZ$1='PM Protocol'!$A70)*'Data for SPECIATE'!$M$5:$AZ$26)/VLOOKUP(J$1,'Data for SPECIATE'!$C$5:$L$26,10,FALSE)</f>
        <v>0</v>
      </c>
      <c r="K70" s="188" cm="1">
        <f t="array" ref="K70">SUMPRODUCT(('Data for SPECIATE'!$C$5:$C$26='PM Protocol'!K$1)*('Data for SPECIATE'!$M$1:$AZ$1='PM Protocol'!$A70)*'Data for SPECIATE'!$M$5:$AZ$26)/VLOOKUP(K$1,'Data for SPECIATE'!$C$5:$L$26,10,FALSE)</f>
        <v>0</v>
      </c>
      <c r="L70" s="188" cm="1">
        <f t="array" ref="L70">SUMPRODUCT(('Data for SPECIATE'!$C$5:$C$26='PM Protocol'!L$1)*('Data for SPECIATE'!$M$1:$AZ$1='PM Protocol'!$A70)*'Data for SPECIATE'!$M$5:$AZ$26)/VLOOKUP(L$1,'Data for SPECIATE'!$C$5:$L$26,10,FALSE)</f>
        <v>0</v>
      </c>
      <c r="M70" s="188" cm="1">
        <f t="array" ref="M70">SUMPRODUCT(('Data for SPECIATE'!$C$5:$C$26='PM Protocol'!M$1)*('Data for SPECIATE'!$M$1:$AZ$1='PM Protocol'!$A70)*'Data for SPECIATE'!$M$5:$AZ$26)/VLOOKUP(M$1,'Data for SPECIATE'!$C$5:$L$26,10,FALSE)</f>
        <v>0</v>
      </c>
      <c r="N70" s="188" cm="1">
        <f t="array" ref="N70">SUMPRODUCT(('Data for SPECIATE'!$C$5:$C$26='PM Protocol'!N$1)*('Data for SPECIATE'!$M$1:$AZ$1='PM Protocol'!$A70)*'Data for SPECIATE'!$M$5:$AZ$26)/VLOOKUP(N$1,'Data for SPECIATE'!$C$5:$L$26,10,FALSE)</f>
        <v>0</v>
      </c>
      <c r="O70" s="188" cm="1">
        <f t="array" ref="O70">SUMPRODUCT(('Data for SPECIATE'!$C$5:$C$26='PM Protocol'!O$1)*('Data for SPECIATE'!$M$1:$AZ$1='PM Protocol'!$A70)*'Data for SPECIATE'!$M$5:$AZ$26)/VLOOKUP(O$1,'Data for SPECIATE'!$C$5:$L$26,10,FALSE)</f>
        <v>0</v>
      </c>
      <c r="P70" s="188" cm="1">
        <f t="array" ref="P70">SUMPRODUCT(('Data for SPECIATE'!$C$5:$C$26='PM Protocol'!P$1)*('Data for SPECIATE'!$M$1:$AZ$1='PM Protocol'!$A70)*'Data for SPECIATE'!$M$5:$AZ$26)/VLOOKUP(P$1,'Data for SPECIATE'!$C$5:$L$26,10,FALSE)</f>
        <v>0</v>
      </c>
      <c r="Q70" s="188" cm="1">
        <f t="array" ref="Q70">SUMPRODUCT(('Data for SPECIATE'!$C$5:$C$26='PM Protocol'!Q$1)*('Data for SPECIATE'!$M$1:$AZ$1='PM Protocol'!$A70)*'Data for SPECIATE'!$M$5:$AZ$26)/VLOOKUP(Q$1,'Data for SPECIATE'!$C$5:$L$26,10,FALSE)</f>
        <v>0</v>
      </c>
      <c r="R70" s="188" cm="1">
        <f t="array" ref="R70">SUMPRODUCT(('Data for SPECIATE'!$C$5:$C$26='PM Protocol'!R$1)*('Data for SPECIATE'!$M$1:$AZ$1='PM Protocol'!$A70)*'Data for SPECIATE'!$M$5:$AZ$26)/SUMPRODUCT(('Data for SPECIATE'!$C$5:$C$26='PM Protocol'!R$1)*'Data for SPECIATE'!$M$5:$AZ$26)</f>
        <v>0</v>
      </c>
      <c r="S70" s="188" cm="1">
        <f t="array" ref="S70">SUMPRODUCT(('Data for SPECIATE'!$C$5:$C$26='PM Protocol'!S$1)*('Data for SPECIATE'!$M$1:$AZ$1='PM Protocol'!$A70)*'Data for SPECIATE'!$M$5:$AZ$26)/VLOOKUP(S$1,'Data for SPECIATE'!$C$5:$L$26,10,FALSE)</f>
        <v>0</v>
      </c>
      <c r="T70" s="188" cm="1">
        <f t="array" ref="T70">SUMPRODUCT(('Data for SPECIATE'!$C$5:$C$26='PM Protocol'!T$1)*('Data for SPECIATE'!$M$1:$AZ$1='PM Protocol'!$A70)*'Data for SPECIATE'!$M$5:$AZ$26)/VLOOKUP(T$1,'Data for SPECIATE'!$C$5:$L$26,10,FALSE)</f>
        <v>0</v>
      </c>
      <c r="U70" s="188" cm="1">
        <f t="array" ref="U70">SUMPRODUCT(('Data for SPECIATE'!$C$5:$C$26='PM Protocol'!U$1)*('Data for SPECIATE'!$M$1:$AZ$1='PM Protocol'!$A70)*'Data for SPECIATE'!$M$5:$AZ$26)/VLOOKUP(U$1,'Data for SPECIATE'!$C$5:$L$26,10,FALSE)</f>
        <v>0</v>
      </c>
      <c r="V70" s="188" cm="1">
        <f t="array" ref="V70">SUMPRODUCT(('Data for SPECIATE'!$C$5:$C$26='PM Protocol'!V$1)*('Data for SPECIATE'!$M$1:$AZ$1='PM Protocol'!$A70)*'Data for SPECIATE'!$M$5:$AZ$26)/VLOOKUP(V$1,'Data for SPECIATE'!$C$5:$L$26,10,FALSE)</f>
        <v>0</v>
      </c>
      <c r="W70" s="188" cm="1">
        <f t="array" ref="W70">SUMPRODUCT(('Data for SPECIATE'!$C$5:$C$26='PM Protocol'!W$1)*('Data for SPECIATE'!$M$1:$AZ$1='PM Protocol'!$A70)*'Data for SPECIATE'!$M$5:$AZ$26)/VLOOKUP(W$1,'Data for SPECIATE'!$C$5:$L$26,10,FALSE)</f>
        <v>0</v>
      </c>
      <c r="X70" s="188" cm="1">
        <f t="array" ref="X70">SUMPRODUCT(('Data for SPECIATE'!$C$5:$C$26='PM Protocol'!X$1)*('Data for SPECIATE'!$M$1:$AZ$1='PM Protocol'!$A70)*'Data for SPECIATE'!$M$5:$AZ$26)/VLOOKUP(X$1,'Data for SPECIATE'!$C$5:$L$26,10,FALSE)</f>
        <v>0</v>
      </c>
      <c r="Y70" s="188" cm="1">
        <f t="array" ref="Y70">SUMPRODUCT(('Data for SPECIATE'!$C$5:$C$26='PM Protocol'!Y$1)*('Data for SPECIATE'!$M$1:$AZ$1='PM Protocol'!$A70)*'Data for SPECIATE'!$M$5:$AZ$26)/VLOOKUP(Y$1,'Data for SPECIATE'!$C$5:$L$26,10,FALSE)</f>
        <v>0</v>
      </c>
      <c r="Z70" s="188" cm="1">
        <f t="array" ref="Z70">SUMPRODUCT(('Data for SPECIATE'!$C$5:$C$26='PM Protocol'!Z$1)*('Data for SPECIATE'!$M$1:$AZ$1='PM Protocol'!$A70)*'Data for SPECIATE'!$M$5:$AZ$26)/VLOOKUP(Z$1,'Data for SPECIATE'!$C$5:$L$26,10,FALSE)</f>
        <v>0</v>
      </c>
    </row>
    <row r="71" spans="1:26">
      <c r="A71">
        <v>3386</v>
      </c>
      <c r="B71" t="s">
        <v>20</v>
      </c>
      <c r="C71" s="191">
        <f>IFERROR(VLOOKUP(A71,Oxides!$A$2:$G$39,7,FALSE),0)</f>
        <v>0</v>
      </c>
      <c r="D71" t="s">
        <v>729</v>
      </c>
      <c r="E71" s="188" cm="1">
        <f t="array" ref="E71">SUMPRODUCT(('Data for SPECIATE'!$C$5:$C$26='PM Protocol'!E$1)*('Data for SPECIATE'!$M$1:$AZ$1='PM Protocol'!$A71)*'Data for SPECIATE'!$M$5:$AZ$26)/VLOOKUP(E$1,'Data for SPECIATE'!$C$5:$L$26,10,FALSE)</f>
        <v>0</v>
      </c>
      <c r="F71" s="188" cm="1">
        <f t="array" ref="F71">SUMPRODUCT(('Data for SPECIATE'!$C$5:$C$26='PM Protocol'!F$1)*('Data for SPECIATE'!$M$1:$AZ$1='PM Protocol'!$A71)*'Data for SPECIATE'!$M$5:$AZ$26)/VLOOKUP(F$1,'Data for SPECIATE'!$C$5:$L$26,10,FALSE)</f>
        <v>0</v>
      </c>
      <c r="G71" s="188" cm="1">
        <f t="array" ref="G71">SUMPRODUCT(('Data for SPECIATE'!$C$5:$C$26='PM Protocol'!G$1)*('Data for SPECIATE'!$M$1:$AZ$1='PM Protocol'!$A71)*'Data for SPECIATE'!$M$5:$AZ$26)/VLOOKUP(G$1,'Data for SPECIATE'!$C$5:$L$26,10,FALSE)</f>
        <v>0</v>
      </c>
      <c r="H71" s="188" cm="1">
        <f t="array" ref="H71">SUMPRODUCT(('Data for SPECIATE'!$C$5:$C$26='PM Protocol'!H$1)*('Data for SPECIATE'!$M$1:$AZ$1='PM Protocol'!$A71)*'Data for SPECIATE'!$M$5:$AZ$26)/VLOOKUP(H$1,'Data for SPECIATE'!$C$5:$L$26,10,FALSE)</f>
        <v>0</v>
      </c>
      <c r="I71" s="188" cm="1">
        <f t="array" ref="I71">SUMPRODUCT(('Data for SPECIATE'!$C$5:$C$26='PM Protocol'!I$1)*('Data for SPECIATE'!$M$1:$AZ$1='PM Protocol'!$A71)*'Data for SPECIATE'!$M$5:$AZ$26)/VLOOKUP(I$1,'Data for SPECIATE'!$C$5:$L$26,10,FALSE)</f>
        <v>0</v>
      </c>
      <c r="J71" s="188" cm="1">
        <f t="array" ref="J71">SUMPRODUCT(('Data for SPECIATE'!$C$5:$C$26='PM Protocol'!J$1)*('Data for SPECIATE'!$M$1:$AZ$1='PM Protocol'!$A71)*'Data for SPECIATE'!$M$5:$AZ$26)/VLOOKUP(J$1,'Data for SPECIATE'!$C$5:$L$26,10,FALSE)</f>
        <v>0</v>
      </c>
      <c r="K71" s="188" cm="1">
        <f t="array" ref="K71">SUMPRODUCT(('Data for SPECIATE'!$C$5:$C$26='PM Protocol'!K$1)*('Data for SPECIATE'!$M$1:$AZ$1='PM Protocol'!$A71)*'Data for SPECIATE'!$M$5:$AZ$26)/VLOOKUP(K$1,'Data for SPECIATE'!$C$5:$L$26,10,FALSE)</f>
        <v>0</v>
      </c>
      <c r="L71" s="188" cm="1">
        <f t="array" ref="L71">SUMPRODUCT(('Data for SPECIATE'!$C$5:$C$26='PM Protocol'!L$1)*('Data for SPECIATE'!$M$1:$AZ$1='PM Protocol'!$A71)*'Data for SPECIATE'!$M$5:$AZ$26)/VLOOKUP(L$1,'Data for SPECIATE'!$C$5:$L$26,10,FALSE)</f>
        <v>0</v>
      </c>
      <c r="M71" s="188" cm="1">
        <f t="array" ref="M71">SUMPRODUCT(('Data for SPECIATE'!$C$5:$C$26='PM Protocol'!M$1)*('Data for SPECIATE'!$M$1:$AZ$1='PM Protocol'!$A71)*'Data for SPECIATE'!$M$5:$AZ$26)/VLOOKUP(M$1,'Data for SPECIATE'!$C$5:$L$26,10,FALSE)</f>
        <v>0</v>
      </c>
      <c r="N71" s="188" cm="1">
        <f t="array" ref="N71">SUMPRODUCT(('Data for SPECIATE'!$C$5:$C$26='PM Protocol'!N$1)*('Data for SPECIATE'!$M$1:$AZ$1='PM Protocol'!$A71)*'Data for SPECIATE'!$M$5:$AZ$26)/VLOOKUP(N$1,'Data for SPECIATE'!$C$5:$L$26,10,FALSE)</f>
        <v>0</v>
      </c>
      <c r="O71" s="188" cm="1">
        <f t="array" ref="O71">SUMPRODUCT(('Data for SPECIATE'!$C$5:$C$26='PM Protocol'!O$1)*('Data for SPECIATE'!$M$1:$AZ$1='PM Protocol'!$A71)*'Data for SPECIATE'!$M$5:$AZ$26)/VLOOKUP(O$1,'Data for SPECIATE'!$C$5:$L$26,10,FALSE)</f>
        <v>0</v>
      </c>
      <c r="P71" s="188" cm="1">
        <f t="array" ref="P71">SUMPRODUCT(('Data for SPECIATE'!$C$5:$C$26='PM Protocol'!P$1)*('Data for SPECIATE'!$M$1:$AZ$1='PM Protocol'!$A71)*'Data for SPECIATE'!$M$5:$AZ$26)/VLOOKUP(P$1,'Data for SPECIATE'!$C$5:$L$26,10,FALSE)</f>
        <v>0</v>
      </c>
      <c r="Q71" s="188" cm="1">
        <f t="array" ref="Q71">SUMPRODUCT(('Data for SPECIATE'!$C$5:$C$26='PM Protocol'!Q$1)*('Data for SPECIATE'!$M$1:$AZ$1='PM Protocol'!$A71)*'Data for SPECIATE'!$M$5:$AZ$26)/VLOOKUP(Q$1,'Data for SPECIATE'!$C$5:$L$26,10,FALSE)</f>
        <v>0</v>
      </c>
      <c r="R71" s="188" cm="1">
        <f t="array" ref="R71">SUMPRODUCT(('Data for SPECIATE'!$C$5:$C$26='PM Protocol'!R$1)*('Data for SPECIATE'!$M$1:$AZ$1='PM Protocol'!$A71)*'Data for SPECIATE'!$M$5:$AZ$26)/SUMPRODUCT(('Data for SPECIATE'!$C$5:$C$26='PM Protocol'!R$1)*'Data for SPECIATE'!$M$5:$AZ$26)</f>
        <v>0</v>
      </c>
      <c r="S71" s="188" cm="1">
        <f t="array" ref="S71">SUMPRODUCT(('Data for SPECIATE'!$C$5:$C$26='PM Protocol'!S$1)*('Data for SPECIATE'!$M$1:$AZ$1='PM Protocol'!$A71)*'Data for SPECIATE'!$M$5:$AZ$26)/VLOOKUP(S$1,'Data for SPECIATE'!$C$5:$L$26,10,FALSE)</f>
        <v>0</v>
      </c>
      <c r="T71" s="188" cm="1">
        <f t="array" ref="T71">SUMPRODUCT(('Data for SPECIATE'!$C$5:$C$26='PM Protocol'!T$1)*('Data for SPECIATE'!$M$1:$AZ$1='PM Protocol'!$A71)*'Data for SPECIATE'!$M$5:$AZ$26)/VLOOKUP(T$1,'Data for SPECIATE'!$C$5:$L$26,10,FALSE)</f>
        <v>0</v>
      </c>
      <c r="U71" s="188" cm="1">
        <f t="array" ref="U71">SUMPRODUCT(('Data for SPECIATE'!$C$5:$C$26='PM Protocol'!U$1)*('Data for SPECIATE'!$M$1:$AZ$1='PM Protocol'!$A71)*'Data for SPECIATE'!$M$5:$AZ$26)/VLOOKUP(U$1,'Data for SPECIATE'!$C$5:$L$26,10,FALSE)</f>
        <v>0</v>
      </c>
      <c r="V71" s="188" cm="1">
        <f t="array" ref="V71">SUMPRODUCT(('Data for SPECIATE'!$C$5:$C$26='PM Protocol'!V$1)*('Data for SPECIATE'!$M$1:$AZ$1='PM Protocol'!$A71)*'Data for SPECIATE'!$M$5:$AZ$26)/VLOOKUP(V$1,'Data for SPECIATE'!$C$5:$L$26,10,FALSE)</f>
        <v>0</v>
      </c>
      <c r="W71" s="188" cm="1">
        <f t="array" ref="W71">SUMPRODUCT(('Data for SPECIATE'!$C$5:$C$26='PM Protocol'!W$1)*('Data for SPECIATE'!$M$1:$AZ$1='PM Protocol'!$A71)*'Data for SPECIATE'!$M$5:$AZ$26)/VLOOKUP(W$1,'Data for SPECIATE'!$C$5:$L$26,10,FALSE)</f>
        <v>0</v>
      </c>
      <c r="X71" s="188" cm="1">
        <f t="array" ref="X71">SUMPRODUCT(('Data for SPECIATE'!$C$5:$C$26='PM Protocol'!X$1)*('Data for SPECIATE'!$M$1:$AZ$1='PM Protocol'!$A71)*'Data for SPECIATE'!$M$5:$AZ$26)/VLOOKUP(X$1,'Data for SPECIATE'!$C$5:$L$26,10,FALSE)</f>
        <v>0</v>
      </c>
      <c r="Y71" s="188" cm="1">
        <f t="array" ref="Y71">SUMPRODUCT(('Data for SPECIATE'!$C$5:$C$26='PM Protocol'!Y$1)*('Data for SPECIATE'!$M$1:$AZ$1='PM Protocol'!$A71)*'Data for SPECIATE'!$M$5:$AZ$26)/VLOOKUP(Y$1,'Data for SPECIATE'!$C$5:$L$26,10,FALSE)</f>
        <v>0</v>
      </c>
      <c r="Z71" s="188" cm="1">
        <f t="array" ref="Z71">SUMPRODUCT(('Data for SPECIATE'!$C$5:$C$26='PM Protocol'!Z$1)*('Data for SPECIATE'!$M$1:$AZ$1='PM Protocol'!$A71)*'Data for SPECIATE'!$M$5:$AZ$26)/VLOOKUP(Z$1,'Data for SPECIATE'!$C$5:$L$26,10,FALSE)</f>
        <v>0</v>
      </c>
    </row>
    <row r="72" spans="1:26">
      <c r="A72">
        <v>3387</v>
      </c>
      <c r="B72" t="s">
        <v>20</v>
      </c>
      <c r="C72" s="191">
        <f>IFERROR(VLOOKUP(A72,Oxides!$A$2:$G$39,7,FALSE),0)</f>
        <v>0</v>
      </c>
      <c r="D72" t="s">
        <v>730</v>
      </c>
      <c r="E72" s="188" cm="1">
        <f t="array" ref="E72">SUMPRODUCT(('Data for SPECIATE'!$C$5:$C$26='PM Protocol'!E$1)*('Data for SPECIATE'!$M$1:$AZ$1='PM Protocol'!$A72)*'Data for SPECIATE'!$M$5:$AZ$26)/VLOOKUP(E$1,'Data for SPECIATE'!$C$5:$L$26,10,FALSE)</f>
        <v>0</v>
      </c>
      <c r="F72" s="188" cm="1">
        <f t="array" ref="F72">SUMPRODUCT(('Data for SPECIATE'!$C$5:$C$26='PM Protocol'!F$1)*('Data for SPECIATE'!$M$1:$AZ$1='PM Protocol'!$A72)*'Data for SPECIATE'!$M$5:$AZ$26)/VLOOKUP(F$1,'Data for SPECIATE'!$C$5:$L$26,10,FALSE)</f>
        <v>0</v>
      </c>
      <c r="G72" s="188" cm="1">
        <f t="array" ref="G72">SUMPRODUCT(('Data for SPECIATE'!$C$5:$C$26='PM Protocol'!G$1)*('Data for SPECIATE'!$M$1:$AZ$1='PM Protocol'!$A72)*'Data for SPECIATE'!$M$5:$AZ$26)/VLOOKUP(G$1,'Data for SPECIATE'!$C$5:$L$26,10,FALSE)</f>
        <v>0</v>
      </c>
      <c r="H72" s="188" cm="1">
        <f t="array" ref="H72">SUMPRODUCT(('Data for SPECIATE'!$C$5:$C$26='PM Protocol'!H$1)*('Data for SPECIATE'!$M$1:$AZ$1='PM Protocol'!$A72)*'Data for SPECIATE'!$M$5:$AZ$26)/VLOOKUP(H$1,'Data for SPECIATE'!$C$5:$L$26,10,FALSE)</f>
        <v>0</v>
      </c>
      <c r="I72" s="188" cm="1">
        <f t="array" ref="I72">SUMPRODUCT(('Data for SPECIATE'!$C$5:$C$26='PM Protocol'!I$1)*('Data for SPECIATE'!$M$1:$AZ$1='PM Protocol'!$A72)*'Data for SPECIATE'!$M$5:$AZ$26)/VLOOKUP(I$1,'Data for SPECIATE'!$C$5:$L$26,10,FALSE)</f>
        <v>0</v>
      </c>
      <c r="J72" s="188" cm="1">
        <f t="array" ref="J72">SUMPRODUCT(('Data for SPECIATE'!$C$5:$C$26='PM Protocol'!J$1)*('Data for SPECIATE'!$M$1:$AZ$1='PM Protocol'!$A72)*'Data for SPECIATE'!$M$5:$AZ$26)/VLOOKUP(J$1,'Data for SPECIATE'!$C$5:$L$26,10,FALSE)</f>
        <v>0</v>
      </c>
      <c r="K72" s="188" cm="1">
        <f t="array" ref="K72">SUMPRODUCT(('Data for SPECIATE'!$C$5:$C$26='PM Protocol'!K$1)*('Data for SPECIATE'!$M$1:$AZ$1='PM Protocol'!$A72)*'Data for SPECIATE'!$M$5:$AZ$26)/VLOOKUP(K$1,'Data for SPECIATE'!$C$5:$L$26,10,FALSE)</f>
        <v>0</v>
      </c>
      <c r="L72" s="188" cm="1">
        <f t="array" ref="L72">SUMPRODUCT(('Data for SPECIATE'!$C$5:$C$26='PM Protocol'!L$1)*('Data for SPECIATE'!$M$1:$AZ$1='PM Protocol'!$A72)*'Data for SPECIATE'!$M$5:$AZ$26)/VLOOKUP(L$1,'Data for SPECIATE'!$C$5:$L$26,10,FALSE)</f>
        <v>0</v>
      </c>
      <c r="M72" s="188" cm="1">
        <f t="array" ref="M72">SUMPRODUCT(('Data for SPECIATE'!$C$5:$C$26='PM Protocol'!M$1)*('Data for SPECIATE'!$M$1:$AZ$1='PM Protocol'!$A72)*'Data for SPECIATE'!$M$5:$AZ$26)/VLOOKUP(M$1,'Data for SPECIATE'!$C$5:$L$26,10,FALSE)</f>
        <v>0</v>
      </c>
      <c r="N72" s="188" cm="1">
        <f t="array" ref="N72">SUMPRODUCT(('Data for SPECIATE'!$C$5:$C$26='PM Protocol'!N$1)*('Data for SPECIATE'!$M$1:$AZ$1='PM Protocol'!$A72)*'Data for SPECIATE'!$M$5:$AZ$26)/VLOOKUP(N$1,'Data for SPECIATE'!$C$5:$L$26,10,FALSE)</f>
        <v>0</v>
      </c>
      <c r="O72" s="188" cm="1">
        <f t="array" ref="O72">SUMPRODUCT(('Data for SPECIATE'!$C$5:$C$26='PM Protocol'!O$1)*('Data for SPECIATE'!$M$1:$AZ$1='PM Protocol'!$A72)*'Data for SPECIATE'!$M$5:$AZ$26)/VLOOKUP(O$1,'Data for SPECIATE'!$C$5:$L$26,10,FALSE)</f>
        <v>0</v>
      </c>
      <c r="P72" s="188" cm="1">
        <f t="array" ref="P72">SUMPRODUCT(('Data for SPECIATE'!$C$5:$C$26='PM Protocol'!P$1)*('Data for SPECIATE'!$M$1:$AZ$1='PM Protocol'!$A72)*'Data for SPECIATE'!$M$5:$AZ$26)/VLOOKUP(P$1,'Data for SPECIATE'!$C$5:$L$26,10,FALSE)</f>
        <v>0</v>
      </c>
      <c r="Q72" s="188" cm="1">
        <f t="array" ref="Q72">SUMPRODUCT(('Data for SPECIATE'!$C$5:$C$26='PM Protocol'!Q$1)*('Data for SPECIATE'!$M$1:$AZ$1='PM Protocol'!$A72)*'Data for SPECIATE'!$M$5:$AZ$26)/VLOOKUP(Q$1,'Data for SPECIATE'!$C$5:$L$26,10,FALSE)</f>
        <v>0</v>
      </c>
      <c r="R72" s="188" cm="1">
        <f t="array" ref="R72">SUMPRODUCT(('Data for SPECIATE'!$C$5:$C$26='PM Protocol'!R$1)*('Data for SPECIATE'!$M$1:$AZ$1='PM Protocol'!$A72)*'Data for SPECIATE'!$M$5:$AZ$26)/SUMPRODUCT(('Data for SPECIATE'!$C$5:$C$26='PM Protocol'!R$1)*'Data for SPECIATE'!$M$5:$AZ$26)</f>
        <v>0</v>
      </c>
      <c r="S72" s="188" cm="1">
        <f t="array" ref="S72">SUMPRODUCT(('Data for SPECIATE'!$C$5:$C$26='PM Protocol'!S$1)*('Data for SPECIATE'!$M$1:$AZ$1='PM Protocol'!$A72)*'Data for SPECIATE'!$M$5:$AZ$26)/VLOOKUP(S$1,'Data for SPECIATE'!$C$5:$L$26,10,FALSE)</f>
        <v>0</v>
      </c>
      <c r="T72" s="188" cm="1">
        <f t="array" ref="T72">SUMPRODUCT(('Data for SPECIATE'!$C$5:$C$26='PM Protocol'!T$1)*('Data for SPECIATE'!$M$1:$AZ$1='PM Protocol'!$A72)*'Data for SPECIATE'!$M$5:$AZ$26)/VLOOKUP(T$1,'Data for SPECIATE'!$C$5:$L$26,10,FALSE)</f>
        <v>0</v>
      </c>
      <c r="U72" s="188" cm="1">
        <f t="array" ref="U72">SUMPRODUCT(('Data for SPECIATE'!$C$5:$C$26='PM Protocol'!U$1)*('Data for SPECIATE'!$M$1:$AZ$1='PM Protocol'!$A72)*'Data for SPECIATE'!$M$5:$AZ$26)/VLOOKUP(U$1,'Data for SPECIATE'!$C$5:$L$26,10,FALSE)</f>
        <v>0</v>
      </c>
      <c r="V72" s="188" cm="1">
        <f t="array" ref="V72">SUMPRODUCT(('Data for SPECIATE'!$C$5:$C$26='PM Protocol'!V$1)*('Data for SPECIATE'!$M$1:$AZ$1='PM Protocol'!$A72)*'Data for SPECIATE'!$M$5:$AZ$26)/VLOOKUP(V$1,'Data for SPECIATE'!$C$5:$L$26,10,FALSE)</f>
        <v>0</v>
      </c>
      <c r="W72" s="188" cm="1">
        <f t="array" ref="W72">SUMPRODUCT(('Data for SPECIATE'!$C$5:$C$26='PM Protocol'!W$1)*('Data for SPECIATE'!$M$1:$AZ$1='PM Protocol'!$A72)*'Data for SPECIATE'!$M$5:$AZ$26)/VLOOKUP(W$1,'Data for SPECIATE'!$C$5:$L$26,10,FALSE)</f>
        <v>0</v>
      </c>
      <c r="X72" s="188" cm="1">
        <f t="array" ref="X72">SUMPRODUCT(('Data for SPECIATE'!$C$5:$C$26='PM Protocol'!X$1)*('Data for SPECIATE'!$M$1:$AZ$1='PM Protocol'!$A72)*'Data for SPECIATE'!$M$5:$AZ$26)/VLOOKUP(X$1,'Data for SPECIATE'!$C$5:$L$26,10,FALSE)</f>
        <v>0</v>
      </c>
      <c r="Y72" s="188" cm="1">
        <f t="array" ref="Y72">SUMPRODUCT(('Data for SPECIATE'!$C$5:$C$26='PM Protocol'!Y$1)*('Data for SPECIATE'!$M$1:$AZ$1='PM Protocol'!$A72)*'Data for SPECIATE'!$M$5:$AZ$26)/VLOOKUP(Y$1,'Data for SPECIATE'!$C$5:$L$26,10,FALSE)</f>
        <v>0</v>
      </c>
      <c r="Z72" s="188" cm="1">
        <f t="array" ref="Z72">SUMPRODUCT(('Data for SPECIATE'!$C$5:$C$26='PM Protocol'!Z$1)*('Data for SPECIATE'!$M$1:$AZ$1='PM Protocol'!$A72)*'Data for SPECIATE'!$M$5:$AZ$26)/VLOOKUP(Z$1,'Data for SPECIATE'!$C$5:$L$26,10,FALSE)</f>
        <v>0</v>
      </c>
    </row>
    <row r="73" spans="1:26">
      <c r="A73">
        <v>3394</v>
      </c>
      <c r="B73" t="s">
        <v>20</v>
      </c>
      <c r="C73" s="191">
        <f>IFERROR(VLOOKUP(A73,Oxides!$A$2:$G$39,7,FALSE),0)</f>
        <v>0</v>
      </c>
      <c r="D73" t="s">
        <v>731</v>
      </c>
      <c r="E73" s="188" cm="1">
        <f t="array" ref="E73">SUMPRODUCT(('Data for SPECIATE'!$C$5:$C$26='PM Protocol'!E$1)*('Data for SPECIATE'!$M$1:$AZ$1='PM Protocol'!$A73)*'Data for SPECIATE'!$M$5:$AZ$26)/VLOOKUP(E$1,'Data for SPECIATE'!$C$5:$L$26,10,FALSE)</f>
        <v>0</v>
      </c>
      <c r="F73" s="188" cm="1">
        <f t="array" ref="F73">SUMPRODUCT(('Data for SPECIATE'!$C$5:$C$26='PM Protocol'!F$1)*('Data for SPECIATE'!$M$1:$AZ$1='PM Protocol'!$A73)*'Data for SPECIATE'!$M$5:$AZ$26)/VLOOKUP(F$1,'Data for SPECIATE'!$C$5:$L$26,10,FALSE)</f>
        <v>0</v>
      </c>
      <c r="G73" s="188" cm="1">
        <f t="array" ref="G73">SUMPRODUCT(('Data for SPECIATE'!$C$5:$C$26='PM Protocol'!G$1)*('Data for SPECIATE'!$M$1:$AZ$1='PM Protocol'!$A73)*'Data for SPECIATE'!$M$5:$AZ$26)/VLOOKUP(G$1,'Data for SPECIATE'!$C$5:$L$26,10,FALSE)</f>
        <v>0</v>
      </c>
      <c r="H73" s="188" cm="1">
        <f t="array" ref="H73">SUMPRODUCT(('Data for SPECIATE'!$C$5:$C$26='PM Protocol'!H$1)*('Data for SPECIATE'!$M$1:$AZ$1='PM Protocol'!$A73)*'Data for SPECIATE'!$M$5:$AZ$26)/VLOOKUP(H$1,'Data for SPECIATE'!$C$5:$L$26,10,FALSE)</f>
        <v>0</v>
      </c>
      <c r="I73" s="188" cm="1">
        <f t="array" ref="I73">SUMPRODUCT(('Data for SPECIATE'!$C$5:$C$26='PM Protocol'!I$1)*('Data for SPECIATE'!$M$1:$AZ$1='PM Protocol'!$A73)*'Data for SPECIATE'!$M$5:$AZ$26)/VLOOKUP(I$1,'Data for SPECIATE'!$C$5:$L$26,10,FALSE)</f>
        <v>0</v>
      </c>
      <c r="J73" s="188" cm="1">
        <f t="array" ref="J73">SUMPRODUCT(('Data for SPECIATE'!$C$5:$C$26='PM Protocol'!J$1)*('Data for SPECIATE'!$M$1:$AZ$1='PM Protocol'!$A73)*'Data for SPECIATE'!$M$5:$AZ$26)/VLOOKUP(J$1,'Data for SPECIATE'!$C$5:$L$26,10,FALSE)</f>
        <v>0</v>
      </c>
      <c r="K73" s="188" cm="1">
        <f t="array" ref="K73">SUMPRODUCT(('Data for SPECIATE'!$C$5:$C$26='PM Protocol'!K$1)*('Data for SPECIATE'!$M$1:$AZ$1='PM Protocol'!$A73)*'Data for SPECIATE'!$M$5:$AZ$26)/VLOOKUP(K$1,'Data for SPECIATE'!$C$5:$L$26,10,FALSE)</f>
        <v>0</v>
      </c>
      <c r="L73" s="188" cm="1">
        <f t="array" ref="L73">SUMPRODUCT(('Data for SPECIATE'!$C$5:$C$26='PM Protocol'!L$1)*('Data for SPECIATE'!$M$1:$AZ$1='PM Protocol'!$A73)*'Data for SPECIATE'!$M$5:$AZ$26)/VLOOKUP(L$1,'Data for SPECIATE'!$C$5:$L$26,10,FALSE)</f>
        <v>0</v>
      </c>
      <c r="M73" s="188" cm="1">
        <f t="array" ref="M73">SUMPRODUCT(('Data for SPECIATE'!$C$5:$C$26='PM Protocol'!M$1)*('Data for SPECIATE'!$M$1:$AZ$1='PM Protocol'!$A73)*'Data for SPECIATE'!$M$5:$AZ$26)/VLOOKUP(M$1,'Data for SPECIATE'!$C$5:$L$26,10,FALSE)</f>
        <v>0</v>
      </c>
      <c r="N73" s="188" cm="1">
        <f t="array" ref="N73">SUMPRODUCT(('Data for SPECIATE'!$C$5:$C$26='PM Protocol'!N$1)*('Data for SPECIATE'!$M$1:$AZ$1='PM Protocol'!$A73)*'Data for SPECIATE'!$M$5:$AZ$26)/VLOOKUP(N$1,'Data for SPECIATE'!$C$5:$L$26,10,FALSE)</f>
        <v>0</v>
      </c>
      <c r="O73" s="188" cm="1">
        <f t="array" ref="O73">SUMPRODUCT(('Data for SPECIATE'!$C$5:$C$26='PM Protocol'!O$1)*('Data for SPECIATE'!$M$1:$AZ$1='PM Protocol'!$A73)*'Data for SPECIATE'!$M$5:$AZ$26)/VLOOKUP(O$1,'Data for SPECIATE'!$C$5:$L$26,10,FALSE)</f>
        <v>0</v>
      </c>
      <c r="P73" s="188" cm="1">
        <f t="array" ref="P73">SUMPRODUCT(('Data for SPECIATE'!$C$5:$C$26='PM Protocol'!P$1)*('Data for SPECIATE'!$M$1:$AZ$1='PM Protocol'!$A73)*'Data for SPECIATE'!$M$5:$AZ$26)/VLOOKUP(P$1,'Data for SPECIATE'!$C$5:$L$26,10,FALSE)</f>
        <v>0</v>
      </c>
      <c r="Q73" s="188" cm="1">
        <f t="array" ref="Q73">SUMPRODUCT(('Data for SPECIATE'!$C$5:$C$26='PM Protocol'!Q$1)*('Data for SPECIATE'!$M$1:$AZ$1='PM Protocol'!$A73)*'Data for SPECIATE'!$M$5:$AZ$26)/VLOOKUP(Q$1,'Data for SPECIATE'!$C$5:$L$26,10,FALSE)</f>
        <v>0</v>
      </c>
      <c r="R73" s="188" cm="1">
        <f t="array" ref="R73">SUMPRODUCT(('Data for SPECIATE'!$C$5:$C$26='PM Protocol'!R$1)*('Data for SPECIATE'!$M$1:$AZ$1='PM Protocol'!$A73)*'Data for SPECIATE'!$M$5:$AZ$26)/SUMPRODUCT(('Data for SPECIATE'!$C$5:$C$26='PM Protocol'!R$1)*'Data for SPECIATE'!$M$5:$AZ$26)</f>
        <v>0</v>
      </c>
      <c r="S73" s="188" cm="1">
        <f t="array" ref="S73">SUMPRODUCT(('Data for SPECIATE'!$C$5:$C$26='PM Protocol'!S$1)*('Data for SPECIATE'!$M$1:$AZ$1='PM Protocol'!$A73)*'Data for SPECIATE'!$M$5:$AZ$26)/VLOOKUP(S$1,'Data for SPECIATE'!$C$5:$L$26,10,FALSE)</f>
        <v>0</v>
      </c>
      <c r="T73" s="188" cm="1">
        <f t="array" ref="T73">SUMPRODUCT(('Data for SPECIATE'!$C$5:$C$26='PM Protocol'!T$1)*('Data for SPECIATE'!$M$1:$AZ$1='PM Protocol'!$A73)*'Data for SPECIATE'!$M$5:$AZ$26)/VLOOKUP(T$1,'Data for SPECIATE'!$C$5:$L$26,10,FALSE)</f>
        <v>0</v>
      </c>
      <c r="U73" s="188" cm="1">
        <f t="array" ref="U73">SUMPRODUCT(('Data for SPECIATE'!$C$5:$C$26='PM Protocol'!U$1)*('Data for SPECIATE'!$M$1:$AZ$1='PM Protocol'!$A73)*'Data for SPECIATE'!$M$5:$AZ$26)/VLOOKUP(U$1,'Data for SPECIATE'!$C$5:$L$26,10,FALSE)</f>
        <v>0</v>
      </c>
      <c r="V73" s="188" cm="1">
        <f t="array" ref="V73">SUMPRODUCT(('Data for SPECIATE'!$C$5:$C$26='PM Protocol'!V$1)*('Data for SPECIATE'!$M$1:$AZ$1='PM Protocol'!$A73)*'Data for SPECIATE'!$M$5:$AZ$26)/VLOOKUP(V$1,'Data for SPECIATE'!$C$5:$L$26,10,FALSE)</f>
        <v>0</v>
      </c>
      <c r="W73" s="188" cm="1">
        <f t="array" ref="W73">SUMPRODUCT(('Data for SPECIATE'!$C$5:$C$26='PM Protocol'!W$1)*('Data for SPECIATE'!$M$1:$AZ$1='PM Protocol'!$A73)*'Data for SPECIATE'!$M$5:$AZ$26)/VLOOKUP(W$1,'Data for SPECIATE'!$C$5:$L$26,10,FALSE)</f>
        <v>0</v>
      </c>
      <c r="X73" s="188" cm="1">
        <f t="array" ref="X73">SUMPRODUCT(('Data for SPECIATE'!$C$5:$C$26='PM Protocol'!X$1)*('Data for SPECIATE'!$M$1:$AZ$1='PM Protocol'!$A73)*'Data for SPECIATE'!$M$5:$AZ$26)/VLOOKUP(X$1,'Data for SPECIATE'!$C$5:$L$26,10,FALSE)</f>
        <v>0</v>
      </c>
      <c r="Y73" s="188" cm="1">
        <f t="array" ref="Y73">SUMPRODUCT(('Data for SPECIATE'!$C$5:$C$26='PM Protocol'!Y$1)*('Data for SPECIATE'!$M$1:$AZ$1='PM Protocol'!$A73)*'Data for SPECIATE'!$M$5:$AZ$26)/VLOOKUP(Y$1,'Data for SPECIATE'!$C$5:$L$26,10,FALSE)</f>
        <v>0</v>
      </c>
      <c r="Z73" s="188" cm="1">
        <f t="array" ref="Z73">SUMPRODUCT(('Data for SPECIATE'!$C$5:$C$26='PM Protocol'!Z$1)*('Data for SPECIATE'!$M$1:$AZ$1='PM Protocol'!$A73)*'Data for SPECIATE'!$M$5:$AZ$26)/VLOOKUP(Z$1,'Data for SPECIATE'!$C$5:$L$26,10,FALSE)</f>
        <v>0</v>
      </c>
    </row>
    <row r="74" spans="1:26">
      <c r="A74">
        <v>3395</v>
      </c>
      <c r="B74" t="s">
        <v>20</v>
      </c>
      <c r="C74" s="191">
        <f>IFERROR(VLOOKUP(A74,Oxides!$A$2:$G$39,7,FALSE),0)</f>
        <v>0</v>
      </c>
      <c r="D74" t="s">
        <v>732</v>
      </c>
      <c r="E74" s="188" cm="1">
        <f t="array" ref="E74">SUMPRODUCT(('Data for SPECIATE'!$C$5:$C$26='PM Protocol'!E$1)*('Data for SPECIATE'!$M$1:$AZ$1='PM Protocol'!$A74)*'Data for SPECIATE'!$M$5:$AZ$26)/VLOOKUP(E$1,'Data for SPECIATE'!$C$5:$L$26,10,FALSE)</f>
        <v>0</v>
      </c>
      <c r="F74" s="188" cm="1">
        <f t="array" ref="F74">SUMPRODUCT(('Data for SPECIATE'!$C$5:$C$26='PM Protocol'!F$1)*('Data for SPECIATE'!$M$1:$AZ$1='PM Protocol'!$A74)*'Data for SPECIATE'!$M$5:$AZ$26)/VLOOKUP(F$1,'Data for SPECIATE'!$C$5:$L$26,10,FALSE)</f>
        <v>0</v>
      </c>
      <c r="G74" s="188" cm="1">
        <f t="array" ref="G74">SUMPRODUCT(('Data for SPECIATE'!$C$5:$C$26='PM Protocol'!G$1)*('Data for SPECIATE'!$M$1:$AZ$1='PM Protocol'!$A74)*'Data for SPECIATE'!$M$5:$AZ$26)/VLOOKUP(G$1,'Data for SPECIATE'!$C$5:$L$26,10,FALSE)</f>
        <v>0</v>
      </c>
      <c r="H74" s="188" cm="1">
        <f t="array" ref="H74">SUMPRODUCT(('Data for SPECIATE'!$C$5:$C$26='PM Protocol'!H$1)*('Data for SPECIATE'!$M$1:$AZ$1='PM Protocol'!$A74)*'Data for SPECIATE'!$M$5:$AZ$26)/VLOOKUP(H$1,'Data for SPECIATE'!$C$5:$L$26,10,FALSE)</f>
        <v>0</v>
      </c>
      <c r="I74" s="188" cm="1">
        <f t="array" ref="I74">SUMPRODUCT(('Data for SPECIATE'!$C$5:$C$26='PM Protocol'!I$1)*('Data for SPECIATE'!$M$1:$AZ$1='PM Protocol'!$A74)*'Data for SPECIATE'!$M$5:$AZ$26)/VLOOKUP(I$1,'Data for SPECIATE'!$C$5:$L$26,10,FALSE)</f>
        <v>0</v>
      </c>
      <c r="J74" s="188" cm="1">
        <f t="array" ref="J74">SUMPRODUCT(('Data for SPECIATE'!$C$5:$C$26='PM Protocol'!J$1)*('Data for SPECIATE'!$M$1:$AZ$1='PM Protocol'!$A74)*'Data for SPECIATE'!$M$5:$AZ$26)/VLOOKUP(J$1,'Data for SPECIATE'!$C$5:$L$26,10,FALSE)</f>
        <v>0</v>
      </c>
      <c r="K74" s="188" cm="1">
        <f t="array" ref="K74">SUMPRODUCT(('Data for SPECIATE'!$C$5:$C$26='PM Protocol'!K$1)*('Data for SPECIATE'!$M$1:$AZ$1='PM Protocol'!$A74)*'Data for SPECIATE'!$M$5:$AZ$26)/VLOOKUP(K$1,'Data for SPECIATE'!$C$5:$L$26,10,FALSE)</f>
        <v>0</v>
      </c>
      <c r="L74" s="188" cm="1">
        <f t="array" ref="L74">SUMPRODUCT(('Data for SPECIATE'!$C$5:$C$26='PM Protocol'!L$1)*('Data for SPECIATE'!$M$1:$AZ$1='PM Protocol'!$A74)*'Data for SPECIATE'!$M$5:$AZ$26)/VLOOKUP(L$1,'Data for SPECIATE'!$C$5:$L$26,10,FALSE)</f>
        <v>0</v>
      </c>
      <c r="M74" s="188" cm="1">
        <f t="array" ref="M74">SUMPRODUCT(('Data for SPECIATE'!$C$5:$C$26='PM Protocol'!M$1)*('Data for SPECIATE'!$M$1:$AZ$1='PM Protocol'!$A74)*'Data for SPECIATE'!$M$5:$AZ$26)/VLOOKUP(M$1,'Data for SPECIATE'!$C$5:$L$26,10,FALSE)</f>
        <v>0</v>
      </c>
      <c r="N74" s="188" cm="1">
        <f t="array" ref="N74">SUMPRODUCT(('Data for SPECIATE'!$C$5:$C$26='PM Protocol'!N$1)*('Data for SPECIATE'!$M$1:$AZ$1='PM Protocol'!$A74)*'Data for SPECIATE'!$M$5:$AZ$26)/VLOOKUP(N$1,'Data for SPECIATE'!$C$5:$L$26,10,FALSE)</f>
        <v>0</v>
      </c>
      <c r="O74" s="188" cm="1">
        <f t="array" ref="O74">SUMPRODUCT(('Data for SPECIATE'!$C$5:$C$26='PM Protocol'!O$1)*('Data for SPECIATE'!$M$1:$AZ$1='PM Protocol'!$A74)*'Data for SPECIATE'!$M$5:$AZ$26)/VLOOKUP(O$1,'Data for SPECIATE'!$C$5:$L$26,10,FALSE)</f>
        <v>0</v>
      </c>
      <c r="P74" s="188" cm="1">
        <f t="array" ref="P74">SUMPRODUCT(('Data for SPECIATE'!$C$5:$C$26='PM Protocol'!P$1)*('Data for SPECIATE'!$M$1:$AZ$1='PM Protocol'!$A74)*'Data for SPECIATE'!$M$5:$AZ$26)/VLOOKUP(P$1,'Data for SPECIATE'!$C$5:$L$26,10,FALSE)</f>
        <v>0</v>
      </c>
      <c r="Q74" s="188" cm="1">
        <f t="array" ref="Q74">SUMPRODUCT(('Data for SPECIATE'!$C$5:$C$26='PM Protocol'!Q$1)*('Data for SPECIATE'!$M$1:$AZ$1='PM Protocol'!$A74)*'Data for SPECIATE'!$M$5:$AZ$26)/VLOOKUP(Q$1,'Data for SPECIATE'!$C$5:$L$26,10,FALSE)</f>
        <v>0</v>
      </c>
      <c r="R74" s="188" cm="1">
        <f t="array" ref="R74">SUMPRODUCT(('Data for SPECIATE'!$C$5:$C$26='PM Protocol'!R$1)*('Data for SPECIATE'!$M$1:$AZ$1='PM Protocol'!$A74)*'Data for SPECIATE'!$M$5:$AZ$26)/SUMPRODUCT(('Data for SPECIATE'!$C$5:$C$26='PM Protocol'!R$1)*'Data for SPECIATE'!$M$5:$AZ$26)</f>
        <v>0</v>
      </c>
      <c r="S74" s="188" cm="1">
        <f t="array" ref="S74">SUMPRODUCT(('Data for SPECIATE'!$C$5:$C$26='PM Protocol'!S$1)*('Data for SPECIATE'!$M$1:$AZ$1='PM Protocol'!$A74)*'Data for SPECIATE'!$M$5:$AZ$26)/VLOOKUP(S$1,'Data for SPECIATE'!$C$5:$L$26,10,FALSE)</f>
        <v>0</v>
      </c>
      <c r="T74" s="188" cm="1">
        <f t="array" ref="T74">SUMPRODUCT(('Data for SPECIATE'!$C$5:$C$26='PM Protocol'!T$1)*('Data for SPECIATE'!$M$1:$AZ$1='PM Protocol'!$A74)*'Data for SPECIATE'!$M$5:$AZ$26)/VLOOKUP(T$1,'Data for SPECIATE'!$C$5:$L$26,10,FALSE)</f>
        <v>0</v>
      </c>
      <c r="U74" s="188" cm="1">
        <f t="array" ref="U74">SUMPRODUCT(('Data for SPECIATE'!$C$5:$C$26='PM Protocol'!U$1)*('Data for SPECIATE'!$M$1:$AZ$1='PM Protocol'!$A74)*'Data for SPECIATE'!$M$5:$AZ$26)/VLOOKUP(U$1,'Data for SPECIATE'!$C$5:$L$26,10,FALSE)</f>
        <v>0</v>
      </c>
      <c r="V74" s="188" cm="1">
        <f t="array" ref="V74">SUMPRODUCT(('Data for SPECIATE'!$C$5:$C$26='PM Protocol'!V$1)*('Data for SPECIATE'!$M$1:$AZ$1='PM Protocol'!$A74)*'Data for SPECIATE'!$M$5:$AZ$26)/VLOOKUP(V$1,'Data for SPECIATE'!$C$5:$L$26,10,FALSE)</f>
        <v>0</v>
      </c>
      <c r="W74" s="188" cm="1">
        <f t="array" ref="W74">SUMPRODUCT(('Data for SPECIATE'!$C$5:$C$26='PM Protocol'!W$1)*('Data for SPECIATE'!$M$1:$AZ$1='PM Protocol'!$A74)*'Data for SPECIATE'!$M$5:$AZ$26)/VLOOKUP(W$1,'Data for SPECIATE'!$C$5:$L$26,10,FALSE)</f>
        <v>0</v>
      </c>
      <c r="X74" s="188" cm="1">
        <f t="array" ref="X74">SUMPRODUCT(('Data for SPECIATE'!$C$5:$C$26='PM Protocol'!X$1)*('Data for SPECIATE'!$M$1:$AZ$1='PM Protocol'!$A74)*'Data for SPECIATE'!$M$5:$AZ$26)/VLOOKUP(X$1,'Data for SPECIATE'!$C$5:$L$26,10,FALSE)</f>
        <v>0</v>
      </c>
      <c r="Y74" s="188" cm="1">
        <f t="array" ref="Y74">SUMPRODUCT(('Data for SPECIATE'!$C$5:$C$26='PM Protocol'!Y$1)*('Data for SPECIATE'!$M$1:$AZ$1='PM Protocol'!$A74)*'Data for SPECIATE'!$M$5:$AZ$26)/VLOOKUP(Y$1,'Data for SPECIATE'!$C$5:$L$26,10,FALSE)</f>
        <v>0</v>
      </c>
      <c r="Z74" s="188" cm="1">
        <f t="array" ref="Z74">SUMPRODUCT(('Data for SPECIATE'!$C$5:$C$26='PM Protocol'!Z$1)*('Data for SPECIATE'!$M$1:$AZ$1='PM Protocol'!$A74)*'Data for SPECIATE'!$M$5:$AZ$26)/VLOOKUP(Z$1,'Data for SPECIATE'!$C$5:$L$26,10,FALSE)</f>
        <v>0</v>
      </c>
    </row>
    <row r="75" spans="1:26">
      <c r="A75">
        <v>3396</v>
      </c>
      <c r="B75" t="s">
        <v>20</v>
      </c>
      <c r="C75" s="191">
        <f>IFERROR(VLOOKUP(A75,Oxides!$A$2:$G$39,7,FALSE),0)</f>
        <v>0</v>
      </c>
      <c r="D75" t="s">
        <v>733</v>
      </c>
      <c r="E75" s="188" cm="1">
        <f t="array" ref="E75">SUMPRODUCT(('Data for SPECIATE'!$C$5:$C$26='PM Protocol'!E$1)*('Data for SPECIATE'!$M$1:$AZ$1='PM Protocol'!$A75)*'Data for SPECIATE'!$M$5:$AZ$26)/VLOOKUP(E$1,'Data for SPECIATE'!$C$5:$L$26,10,FALSE)</f>
        <v>0</v>
      </c>
      <c r="F75" s="188" cm="1">
        <f t="array" ref="F75">SUMPRODUCT(('Data for SPECIATE'!$C$5:$C$26='PM Protocol'!F$1)*('Data for SPECIATE'!$M$1:$AZ$1='PM Protocol'!$A75)*'Data for SPECIATE'!$M$5:$AZ$26)/VLOOKUP(F$1,'Data for SPECIATE'!$C$5:$L$26,10,FALSE)</f>
        <v>0</v>
      </c>
      <c r="G75" s="188" cm="1">
        <f t="array" ref="G75">SUMPRODUCT(('Data for SPECIATE'!$C$5:$C$26='PM Protocol'!G$1)*('Data for SPECIATE'!$M$1:$AZ$1='PM Protocol'!$A75)*'Data for SPECIATE'!$M$5:$AZ$26)/VLOOKUP(G$1,'Data for SPECIATE'!$C$5:$L$26,10,FALSE)</f>
        <v>0</v>
      </c>
      <c r="H75" s="188" cm="1">
        <f t="array" ref="H75">SUMPRODUCT(('Data for SPECIATE'!$C$5:$C$26='PM Protocol'!H$1)*('Data for SPECIATE'!$M$1:$AZ$1='PM Protocol'!$A75)*'Data for SPECIATE'!$M$5:$AZ$26)/VLOOKUP(H$1,'Data for SPECIATE'!$C$5:$L$26,10,FALSE)</f>
        <v>0</v>
      </c>
      <c r="I75" s="188" cm="1">
        <f t="array" ref="I75">SUMPRODUCT(('Data for SPECIATE'!$C$5:$C$26='PM Protocol'!I$1)*('Data for SPECIATE'!$M$1:$AZ$1='PM Protocol'!$A75)*'Data for SPECIATE'!$M$5:$AZ$26)/VLOOKUP(I$1,'Data for SPECIATE'!$C$5:$L$26,10,FALSE)</f>
        <v>0</v>
      </c>
      <c r="J75" s="188" cm="1">
        <f t="array" ref="J75">SUMPRODUCT(('Data for SPECIATE'!$C$5:$C$26='PM Protocol'!J$1)*('Data for SPECIATE'!$M$1:$AZ$1='PM Protocol'!$A75)*'Data for SPECIATE'!$M$5:$AZ$26)/VLOOKUP(J$1,'Data for SPECIATE'!$C$5:$L$26,10,FALSE)</f>
        <v>0</v>
      </c>
      <c r="K75" s="188" cm="1">
        <f t="array" ref="K75">SUMPRODUCT(('Data for SPECIATE'!$C$5:$C$26='PM Protocol'!K$1)*('Data for SPECIATE'!$M$1:$AZ$1='PM Protocol'!$A75)*'Data for SPECIATE'!$M$5:$AZ$26)/VLOOKUP(K$1,'Data for SPECIATE'!$C$5:$L$26,10,FALSE)</f>
        <v>0</v>
      </c>
      <c r="L75" s="188" cm="1">
        <f t="array" ref="L75">SUMPRODUCT(('Data for SPECIATE'!$C$5:$C$26='PM Protocol'!L$1)*('Data for SPECIATE'!$M$1:$AZ$1='PM Protocol'!$A75)*'Data for SPECIATE'!$M$5:$AZ$26)/VLOOKUP(L$1,'Data for SPECIATE'!$C$5:$L$26,10,FALSE)</f>
        <v>0</v>
      </c>
      <c r="M75" s="188" cm="1">
        <f t="array" ref="M75">SUMPRODUCT(('Data for SPECIATE'!$C$5:$C$26='PM Protocol'!M$1)*('Data for SPECIATE'!$M$1:$AZ$1='PM Protocol'!$A75)*'Data for SPECIATE'!$M$5:$AZ$26)/VLOOKUP(M$1,'Data for SPECIATE'!$C$5:$L$26,10,FALSE)</f>
        <v>0</v>
      </c>
      <c r="N75" s="188" cm="1">
        <f t="array" ref="N75">SUMPRODUCT(('Data for SPECIATE'!$C$5:$C$26='PM Protocol'!N$1)*('Data for SPECIATE'!$M$1:$AZ$1='PM Protocol'!$A75)*'Data for SPECIATE'!$M$5:$AZ$26)/VLOOKUP(N$1,'Data for SPECIATE'!$C$5:$L$26,10,FALSE)</f>
        <v>0</v>
      </c>
      <c r="O75" s="188" cm="1">
        <f t="array" ref="O75">SUMPRODUCT(('Data for SPECIATE'!$C$5:$C$26='PM Protocol'!O$1)*('Data for SPECIATE'!$M$1:$AZ$1='PM Protocol'!$A75)*'Data for SPECIATE'!$M$5:$AZ$26)/VLOOKUP(O$1,'Data for SPECIATE'!$C$5:$L$26,10,FALSE)</f>
        <v>0</v>
      </c>
      <c r="P75" s="188" cm="1">
        <f t="array" ref="P75">SUMPRODUCT(('Data for SPECIATE'!$C$5:$C$26='PM Protocol'!P$1)*('Data for SPECIATE'!$M$1:$AZ$1='PM Protocol'!$A75)*'Data for SPECIATE'!$M$5:$AZ$26)/VLOOKUP(P$1,'Data for SPECIATE'!$C$5:$L$26,10,FALSE)</f>
        <v>0</v>
      </c>
      <c r="Q75" s="188" cm="1">
        <f t="array" ref="Q75">SUMPRODUCT(('Data for SPECIATE'!$C$5:$C$26='PM Protocol'!Q$1)*('Data for SPECIATE'!$M$1:$AZ$1='PM Protocol'!$A75)*'Data for SPECIATE'!$M$5:$AZ$26)/VLOOKUP(Q$1,'Data for SPECIATE'!$C$5:$L$26,10,FALSE)</f>
        <v>0</v>
      </c>
      <c r="R75" s="188" cm="1">
        <f t="array" ref="R75">SUMPRODUCT(('Data for SPECIATE'!$C$5:$C$26='PM Protocol'!R$1)*('Data for SPECIATE'!$M$1:$AZ$1='PM Protocol'!$A75)*'Data for SPECIATE'!$M$5:$AZ$26)/SUMPRODUCT(('Data for SPECIATE'!$C$5:$C$26='PM Protocol'!R$1)*'Data for SPECIATE'!$M$5:$AZ$26)</f>
        <v>0</v>
      </c>
      <c r="S75" s="188" cm="1">
        <f t="array" ref="S75">SUMPRODUCT(('Data for SPECIATE'!$C$5:$C$26='PM Protocol'!S$1)*('Data for SPECIATE'!$M$1:$AZ$1='PM Protocol'!$A75)*'Data for SPECIATE'!$M$5:$AZ$26)/VLOOKUP(S$1,'Data for SPECIATE'!$C$5:$L$26,10,FALSE)</f>
        <v>0</v>
      </c>
      <c r="T75" s="188" cm="1">
        <f t="array" ref="T75">SUMPRODUCT(('Data for SPECIATE'!$C$5:$C$26='PM Protocol'!T$1)*('Data for SPECIATE'!$M$1:$AZ$1='PM Protocol'!$A75)*'Data for SPECIATE'!$M$5:$AZ$26)/VLOOKUP(T$1,'Data for SPECIATE'!$C$5:$L$26,10,FALSE)</f>
        <v>0</v>
      </c>
      <c r="U75" s="188" cm="1">
        <f t="array" ref="U75">SUMPRODUCT(('Data for SPECIATE'!$C$5:$C$26='PM Protocol'!U$1)*('Data for SPECIATE'!$M$1:$AZ$1='PM Protocol'!$A75)*'Data for SPECIATE'!$M$5:$AZ$26)/VLOOKUP(U$1,'Data for SPECIATE'!$C$5:$L$26,10,FALSE)</f>
        <v>0</v>
      </c>
      <c r="V75" s="188" cm="1">
        <f t="array" ref="V75">SUMPRODUCT(('Data for SPECIATE'!$C$5:$C$26='PM Protocol'!V$1)*('Data for SPECIATE'!$M$1:$AZ$1='PM Protocol'!$A75)*'Data for SPECIATE'!$M$5:$AZ$26)/VLOOKUP(V$1,'Data for SPECIATE'!$C$5:$L$26,10,FALSE)</f>
        <v>0</v>
      </c>
      <c r="W75" s="188" cm="1">
        <f t="array" ref="W75">SUMPRODUCT(('Data for SPECIATE'!$C$5:$C$26='PM Protocol'!W$1)*('Data for SPECIATE'!$M$1:$AZ$1='PM Protocol'!$A75)*'Data for SPECIATE'!$M$5:$AZ$26)/VLOOKUP(W$1,'Data for SPECIATE'!$C$5:$L$26,10,FALSE)</f>
        <v>0</v>
      </c>
      <c r="X75" s="188" cm="1">
        <f t="array" ref="X75">SUMPRODUCT(('Data for SPECIATE'!$C$5:$C$26='PM Protocol'!X$1)*('Data for SPECIATE'!$M$1:$AZ$1='PM Protocol'!$A75)*'Data for SPECIATE'!$M$5:$AZ$26)/VLOOKUP(X$1,'Data for SPECIATE'!$C$5:$L$26,10,FALSE)</f>
        <v>0</v>
      </c>
      <c r="Y75" s="188" cm="1">
        <f t="array" ref="Y75">SUMPRODUCT(('Data for SPECIATE'!$C$5:$C$26='PM Protocol'!Y$1)*('Data for SPECIATE'!$M$1:$AZ$1='PM Protocol'!$A75)*'Data for SPECIATE'!$M$5:$AZ$26)/VLOOKUP(Y$1,'Data for SPECIATE'!$C$5:$L$26,10,FALSE)</f>
        <v>0</v>
      </c>
      <c r="Z75" s="188" cm="1">
        <f t="array" ref="Z75">SUMPRODUCT(('Data for SPECIATE'!$C$5:$C$26='PM Protocol'!Z$1)*('Data for SPECIATE'!$M$1:$AZ$1='PM Protocol'!$A75)*'Data for SPECIATE'!$M$5:$AZ$26)/VLOOKUP(Z$1,'Data for SPECIATE'!$C$5:$L$26,10,FALSE)</f>
        <v>0</v>
      </c>
    </row>
    <row r="76" spans="1:26">
      <c r="A76">
        <v>3397</v>
      </c>
      <c r="B76" t="s">
        <v>20</v>
      </c>
      <c r="C76" s="191">
        <f>IFERROR(VLOOKUP(A76,Oxides!$A$2:$G$39,7,FALSE),0)</f>
        <v>0</v>
      </c>
      <c r="D76" t="s">
        <v>734</v>
      </c>
      <c r="E76" s="188" cm="1">
        <f t="array" ref="E76">SUMPRODUCT(('Data for SPECIATE'!$C$5:$C$26='PM Protocol'!E$1)*('Data for SPECIATE'!$M$1:$AZ$1='PM Protocol'!$A76)*'Data for SPECIATE'!$M$5:$AZ$26)/VLOOKUP(E$1,'Data for SPECIATE'!$C$5:$L$26,10,FALSE)</f>
        <v>0</v>
      </c>
      <c r="F76" s="188" cm="1">
        <f t="array" ref="F76">SUMPRODUCT(('Data for SPECIATE'!$C$5:$C$26='PM Protocol'!F$1)*('Data for SPECIATE'!$M$1:$AZ$1='PM Protocol'!$A76)*'Data for SPECIATE'!$M$5:$AZ$26)/VLOOKUP(F$1,'Data for SPECIATE'!$C$5:$L$26,10,FALSE)</f>
        <v>0</v>
      </c>
      <c r="G76" s="188" cm="1">
        <f t="array" ref="G76">SUMPRODUCT(('Data for SPECIATE'!$C$5:$C$26='PM Protocol'!G$1)*('Data for SPECIATE'!$M$1:$AZ$1='PM Protocol'!$A76)*'Data for SPECIATE'!$M$5:$AZ$26)/VLOOKUP(G$1,'Data for SPECIATE'!$C$5:$L$26,10,FALSE)</f>
        <v>0</v>
      </c>
      <c r="H76" s="188" cm="1">
        <f t="array" ref="H76">SUMPRODUCT(('Data for SPECIATE'!$C$5:$C$26='PM Protocol'!H$1)*('Data for SPECIATE'!$M$1:$AZ$1='PM Protocol'!$A76)*'Data for SPECIATE'!$M$5:$AZ$26)/VLOOKUP(H$1,'Data for SPECIATE'!$C$5:$L$26,10,FALSE)</f>
        <v>0</v>
      </c>
      <c r="I76" s="188" cm="1">
        <f t="array" ref="I76">SUMPRODUCT(('Data for SPECIATE'!$C$5:$C$26='PM Protocol'!I$1)*('Data for SPECIATE'!$M$1:$AZ$1='PM Protocol'!$A76)*'Data for SPECIATE'!$M$5:$AZ$26)/VLOOKUP(I$1,'Data for SPECIATE'!$C$5:$L$26,10,FALSE)</f>
        <v>0</v>
      </c>
      <c r="J76" s="188" cm="1">
        <f t="array" ref="J76">SUMPRODUCT(('Data for SPECIATE'!$C$5:$C$26='PM Protocol'!J$1)*('Data for SPECIATE'!$M$1:$AZ$1='PM Protocol'!$A76)*'Data for SPECIATE'!$M$5:$AZ$26)/VLOOKUP(J$1,'Data for SPECIATE'!$C$5:$L$26,10,FALSE)</f>
        <v>0</v>
      </c>
      <c r="K76" s="188" cm="1">
        <f t="array" ref="K76">SUMPRODUCT(('Data for SPECIATE'!$C$5:$C$26='PM Protocol'!K$1)*('Data for SPECIATE'!$M$1:$AZ$1='PM Protocol'!$A76)*'Data for SPECIATE'!$M$5:$AZ$26)/VLOOKUP(K$1,'Data for SPECIATE'!$C$5:$L$26,10,FALSE)</f>
        <v>0</v>
      </c>
      <c r="L76" s="188" cm="1">
        <f t="array" ref="L76">SUMPRODUCT(('Data for SPECIATE'!$C$5:$C$26='PM Protocol'!L$1)*('Data for SPECIATE'!$M$1:$AZ$1='PM Protocol'!$A76)*'Data for SPECIATE'!$M$5:$AZ$26)/VLOOKUP(L$1,'Data for SPECIATE'!$C$5:$L$26,10,FALSE)</f>
        <v>0</v>
      </c>
      <c r="M76" s="188" cm="1">
        <f t="array" ref="M76">SUMPRODUCT(('Data for SPECIATE'!$C$5:$C$26='PM Protocol'!M$1)*('Data for SPECIATE'!$M$1:$AZ$1='PM Protocol'!$A76)*'Data for SPECIATE'!$M$5:$AZ$26)/VLOOKUP(M$1,'Data for SPECIATE'!$C$5:$L$26,10,FALSE)</f>
        <v>0</v>
      </c>
      <c r="N76" s="188" cm="1">
        <f t="array" ref="N76">SUMPRODUCT(('Data for SPECIATE'!$C$5:$C$26='PM Protocol'!N$1)*('Data for SPECIATE'!$M$1:$AZ$1='PM Protocol'!$A76)*'Data for SPECIATE'!$M$5:$AZ$26)/VLOOKUP(N$1,'Data for SPECIATE'!$C$5:$L$26,10,FALSE)</f>
        <v>0</v>
      </c>
      <c r="O76" s="188" cm="1">
        <f t="array" ref="O76">SUMPRODUCT(('Data for SPECIATE'!$C$5:$C$26='PM Protocol'!O$1)*('Data for SPECIATE'!$M$1:$AZ$1='PM Protocol'!$A76)*'Data for SPECIATE'!$M$5:$AZ$26)/VLOOKUP(O$1,'Data for SPECIATE'!$C$5:$L$26,10,FALSE)</f>
        <v>0</v>
      </c>
      <c r="P76" s="188" cm="1">
        <f t="array" ref="P76">SUMPRODUCT(('Data for SPECIATE'!$C$5:$C$26='PM Protocol'!P$1)*('Data for SPECIATE'!$M$1:$AZ$1='PM Protocol'!$A76)*'Data for SPECIATE'!$M$5:$AZ$26)/VLOOKUP(P$1,'Data for SPECIATE'!$C$5:$L$26,10,FALSE)</f>
        <v>0</v>
      </c>
      <c r="Q76" s="188" cm="1">
        <f t="array" ref="Q76">SUMPRODUCT(('Data for SPECIATE'!$C$5:$C$26='PM Protocol'!Q$1)*('Data for SPECIATE'!$M$1:$AZ$1='PM Protocol'!$A76)*'Data for SPECIATE'!$M$5:$AZ$26)/VLOOKUP(Q$1,'Data for SPECIATE'!$C$5:$L$26,10,FALSE)</f>
        <v>0</v>
      </c>
      <c r="R76" s="188" cm="1">
        <f t="array" ref="R76">SUMPRODUCT(('Data for SPECIATE'!$C$5:$C$26='PM Protocol'!R$1)*('Data for SPECIATE'!$M$1:$AZ$1='PM Protocol'!$A76)*'Data for SPECIATE'!$M$5:$AZ$26)/SUMPRODUCT(('Data for SPECIATE'!$C$5:$C$26='PM Protocol'!R$1)*'Data for SPECIATE'!$M$5:$AZ$26)</f>
        <v>0</v>
      </c>
      <c r="S76" s="188" cm="1">
        <f t="array" ref="S76">SUMPRODUCT(('Data for SPECIATE'!$C$5:$C$26='PM Protocol'!S$1)*('Data for SPECIATE'!$M$1:$AZ$1='PM Protocol'!$A76)*'Data for SPECIATE'!$M$5:$AZ$26)/VLOOKUP(S$1,'Data for SPECIATE'!$C$5:$L$26,10,FALSE)</f>
        <v>0</v>
      </c>
      <c r="T76" s="188" cm="1">
        <f t="array" ref="T76">SUMPRODUCT(('Data for SPECIATE'!$C$5:$C$26='PM Protocol'!T$1)*('Data for SPECIATE'!$M$1:$AZ$1='PM Protocol'!$A76)*'Data for SPECIATE'!$M$5:$AZ$26)/VLOOKUP(T$1,'Data for SPECIATE'!$C$5:$L$26,10,FALSE)</f>
        <v>0</v>
      </c>
      <c r="U76" s="188" cm="1">
        <f t="array" ref="U76">SUMPRODUCT(('Data for SPECIATE'!$C$5:$C$26='PM Protocol'!U$1)*('Data for SPECIATE'!$M$1:$AZ$1='PM Protocol'!$A76)*'Data for SPECIATE'!$M$5:$AZ$26)/VLOOKUP(U$1,'Data for SPECIATE'!$C$5:$L$26,10,FALSE)</f>
        <v>0</v>
      </c>
      <c r="V76" s="188" cm="1">
        <f t="array" ref="V76">SUMPRODUCT(('Data for SPECIATE'!$C$5:$C$26='PM Protocol'!V$1)*('Data for SPECIATE'!$M$1:$AZ$1='PM Protocol'!$A76)*'Data for SPECIATE'!$M$5:$AZ$26)/VLOOKUP(V$1,'Data for SPECIATE'!$C$5:$L$26,10,FALSE)</f>
        <v>0</v>
      </c>
      <c r="W76" s="188" cm="1">
        <f t="array" ref="W76">SUMPRODUCT(('Data for SPECIATE'!$C$5:$C$26='PM Protocol'!W$1)*('Data for SPECIATE'!$M$1:$AZ$1='PM Protocol'!$A76)*'Data for SPECIATE'!$M$5:$AZ$26)/VLOOKUP(W$1,'Data for SPECIATE'!$C$5:$L$26,10,FALSE)</f>
        <v>0</v>
      </c>
      <c r="X76" s="188" cm="1">
        <f t="array" ref="X76">SUMPRODUCT(('Data for SPECIATE'!$C$5:$C$26='PM Protocol'!X$1)*('Data for SPECIATE'!$M$1:$AZ$1='PM Protocol'!$A76)*'Data for SPECIATE'!$M$5:$AZ$26)/VLOOKUP(X$1,'Data for SPECIATE'!$C$5:$L$26,10,FALSE)</f>
        <v>0</v>
      </c>
      <c r="Y76" s="188" cm="1">
        <f t="array" ref="Y76">SUMPRODUCT(('Data for SPECIATE'!$C$5:$C$26='PM Protocol'!Y$1)*('Data for SPECIATE'!$M$1:$AZ$1='PM Protocol'!$A76)*'Data for SPECIATE'!$M$5:$AZ$26)/VLOOKUP(Y$1,'Data for SPECIATE'!$C$5:$L$26,10,FALSE)</f>
        <v>0</v>
      </c>
      <c r="Z76" s="188" cm="1">
        <f t="array" ref="Z76">SUMPRODUCT(('Data for SPECIATE'!$C$5:$C$26='PM Protocol'!Z$1)*('Data for SPECIATE'!$M$1:$AZ$1='PM Protocol'!$A76)*'Data for SPECIATE'!$M$5:$AZ$26)/VLOOKUP(Z$1,'Data for SPECIATE'!$C$5:$L$26,10,FALSE)</f>
        <v>0</v>
      </c>
    </row>
    <row r="77" spans="1:26">
      <c r="A77">
        <v>3398</v>
      </c>
      <c r="B77" t="s">
        <v>20</v>
      </c>
      <c r="C77" s="191">
        <f>IFERROR(VLOOKUP(A77,Oxides!$A$2:$G$39,7,FALSE),0)</f>
        <v>0</v>
      </c>
      <c r="D77" t="s">
        <v>735</v>
      </c>
      <c r="E77" s="188" cm="1">
        <f t="array" ref="E77">SUMPRODUCT(('Data for SPECIATE'!$C$5:$C$26='PM Protocol'!E$1)*('Data for SPECIATE'!$M$1:$AZ$1='PM Protocol'!$A77)*'Data for SPECIATE'!$M$5:$AZ$26)/VLOOKUP(E$1,'Data for SPECIATE'!$C$5:$L$26,10,FALSE)</f>
        <v>0</v>
      </c>
      <c r="F77" s="188" cm="1">
        <f t="array" ref="F77">SUMPRODUCT(('Data for SPECIATE'!$C$5:$C$26='PM Protocol'!F$1)*('Data for SPECIATE'!$M$1:$AZ$1='PM Protocol'!$A77)*'Data for SPECIATE'!$M$5:$AZ$26)/VLOOKUP(F$1,'Data for SPECIATE'!$C$5:$L$26,10,FALSE)</f>
        <v>0</v>
      </c>
      <c r="G77" s="188" cm="1">
        <f t="array" ref="G77">SUMPRODUCT(('Data for SPECIATE'!$C$5:$C$26='PM Protocol'!G$1)*('Data for SPECIATE'!$M$1:$AZ$1='PM Protocol'!$A77)*'Data for SPECIATE'!$M$5:$AZ$26)/VLOOKUP(G$1,'Data for SPECIATE'!$C$5:$L$26,10,FALSE)</f>
        <v>0</v>
      </c>
      <c r="H77" s="188" cm="1">
        <f t="array" ref="H77">SUMPRODUCT(('Data for SPECIATE'!$C$5:$C$26='PM Protocol'!H$1)*('Data for SPECIATE'!$M$1:$AZ$1='PM Protocol'!$A77)*'Data for SPECIATE'!$M$5:$AZ$26)/VLOOKUP(H$1,'Data for SPECIATE'!$C$5:$L$26,10,FALSE)</f>
        <v>0</v>
      </c>
      <c r="I77" s="188" cm="1">
        <f t="array" ref="I77">SUMPRODUCT(('Data for SPECIATE'!$C$5:$C$26='PM Protocol'!I$1)*('Data for SPECIATE'!$M$1:$AZ$1='PM Protocol'!$A77)*'Data for SPECIATE'!$M$5:$AZ$26)/VLOOKUP(I$1,'Data for SPECIATE'!$C$5:$L$26,10,FALSE)</f>
        <v>0</v>
      </c>
      <c r="J77" s="188" cm="1">
        <f t="array" ref="J77">SUMPRODUCT(('Data for SPECIATE'!$C$5:$C$26='PM Protocol'!J$1)*('Data for SPECIATE'!$M$1:$AZ$1='PM Protocol'!$A77)*'Data for SPECIATE'!$M$5:$AZ$26)/VLOOKUP(J$1,'Data for SPECIATE'!$C$5:$L$26,10,FALSE)</f>
        <v>0</v>
      </c>
      <c r="K77" s="188" cm="1">
        <f t="array" ref="K77">SUMPRODUCT(('Data for SPECIATE'!$C$5:$C$26='PM Protocol'!K$1)*('Data for SPECIATE'!$M$1:$AZ$1='PM Protocol'!$A77)*'Data for SPECIATE'!$M$5:$AZ$26)/VLOOKUP(K$1,'Data for SPECIATE'!$C$5:$L$26,10,FALSE)</f>
        <v>0</v>
      </c>
      <c r="L77" s="188" cm="1">
        <f t="array" ref="L77">SUMPRODUCT(('Data for SPECIATE'!$C$5:$C$26='PM Protocol'!L$1)*('Data for SPECIATE'!$M$1:$AZ$1='PM Protocol'!$A77)*'Data for SPECIATE'!$M$5:$AZ$26)/VLOOKUP(L$1,'Data for SPECIATE'!$C$5:$L$26,10,FALSE)</f>
        <v>0</v>
      </c>
      <c r="M77" s="188" cm="1">
        <f t="array" ref="M77">SUMPRODUCT(('Data for SPECIATE'!$C$5:$C$26='PM Protocol'!M$1)*('Data for SPECIATE'!$M$1:$AZ$1='PM Protocol'!$A77)*'Data for SPECIATE'!$M$5:$AZ$26)/VLOOKUP(M$1,'Data for SPECIATE'!$C$5:$L$26,10,FALSE)</f>
        <v>0</v>
      </c>
      <c r="N77" s="188" cm="1">
        <f t="array" ref="N77">SUMPRODUCT(('Data for SPECIATE'!$C$5:$C$26='PM Protocol'!N$1)*('Data for SPECIATE'!$M$1:$AZ$1='PM Protocol'!$A77)*'Data for SPECIATE'!$M$5:$AZ$26)/VLOOKUP(N$1,'Data for SPECIATE'!$C$5:$L$26,10,FALSE)</f>
        <v>0</v>
      </c>
      <c r="O77" s="188" cm="1">
        <f t="array" ref="O77">SUMPRODUCT(('Data for SPECIATE'!$C$5:$C$26='PM Protocol'!O$1)*('Data for SPECIATE'!$M$1:$AZ$1='PM Protocol'!$A77)*'Data for SPECIATE'!$M$5:$AZ$26)/VLOOKUP(O$1,'Data for SPECIATE'!$C$5:$L$26,10,FALSE)</f>
        <v>0</v>
      </c>
      <c r="P77" s="188" cm="1">
        <f t="array" ref="P77">SUMPRODUCT(('Data for SPECIATE'!$C$5:$C$26='PM Protocol'!P$1)*('Data for SPECIATE'!$M$1:$AZ$1='PM Protocol'!$A77)*'Data for SPECIATE'!$M$5:$AZ$26)/VLOOKUP(P$1,'Data for SPECIATE'!$C$5:$L$26,10,FALSE)</f>
        <v>0</v>
      </c>
      <c r="Q77" s="188" cm="1">
        <f t="array" ref="Q77">SUMPRODUCT(('Data for SPECIATE'!$C$5:$C$26='PM Protocol'!Q$1)*('Data for SPECIATE'!$M$1:$AZ$1='PM Protocol'!$A77)*'Data for SPECIATE'!$M$5:$AZ$26)/VLOOKUP(Q$1,'Data for SPECIATE'!$C$5:$L$26,10,FALSE)</f>
        <v>0</v>
      </c>
      <c r="R77" s="188" cm="1">
        <f t="array" ref="R77">SUMPRODUCT(('Data for SPECIATE'!$C$5:$C$26='PM Protocol'!R$1)*('Data for SPECIATE'!$M$1:$AZ$1='PM Protocol'!$A77)*'Data for SPECIATE'!$M$5:$AZ$26)/SUMPRODUCT(('Data for SPECIATE'!$C$5:$C$26='PM Protocol'!R$1)*'Data for SPECIATE'!$M$5:$AZ$26)</f>
        <v>0</v>
      </c>
      <c r="S77" s="188" cm="1">
        <f t="array" ref="S77">SUMPRODUCT(('Data for SPECIATE'!$C$5:$C$26='PM Protocol'!S$1)*('Data for SPECIATE'!$M$1:$AZ$1='PM Protocol'!$A77)*'Data for SPECIATE'!$M$5:$AZ$26)/VLOOKUP(S$1,'Data for SPECIATE'!$C$5:$L$26,10,FALSE)</f>
        <v>0</v>
      </c>
      <c r="T77" s="188" cm="1">
        <f t="array" ref="T77">SUMPRODUCT(('Data for SPECIATE'!$C$5:$C$26='PM Protocol'!T$1)*('Data for SPECIATE'!$M$1:$AZ$1='PM Protocol'!$A77)*'Data for SPECIATE'!$M$5:$AZ$26)/VLOOKUP(T$1,'Data for SPECIATE'!$C$5:$L$26,10,FALSE)</f>
        <v>0</v>
      </c>
      <c r="U77" s="188" cm="1">
        <f t="array" ref="U77">SUMPRODUCT(('Data for SPECIATE'!$C$5:$C$26='PM Protocol'!U$1)*('Data for SPECIATE'!$M$1:$AZ$1='PM Protocol'!$A77)*'Data for SPECIATE'!$M$5:$AZ$26)/VLOOKUP(U$1,'Data for SPECIATE'!$C$5:$L$26,10,FALSE)</f>
        <v>0</v>
      </c>
      <c r="V77" s="188" cm="1">
        <f t="array" ref="V77">SUMPRODUCT(('Data for SPECIATE'!$C$5:$C$26='PM Protocol'!V$1)*('Data for SPECIATE'!$M$1:$AZ$1='PM Protocol'!$A77)*'Data for SPECIATE'!$M$5:$AZ$26)/VLOOKUP(V$1,'Data for SPECIATE'!$C$5:$L$26,10,FALSE)</f>
        <v>0</v>
      </c>
      <c r="W77" s="188" cm="1">
        <f t="array" ref="W77">SUMPRODUCT(('Data for SPECIATE'!$C$5:$C$26='PM Protocol'!W$1)*('Data for SPECIATE'!$M$1:$AZ$1='PM Protocol'!$A77)*'Data for SPECIATE'!$M$5:$AZ$26)/VLOOKUP(W$1,'Data for SPECIATE'!$C$5:$L$26,10,FALSE)</f>
        <v>0</v>
      </c>
      <c r="X77" s="188" cm="1">
        <f t="array" ref="X77">SUMPRODUCT(('Data for SPECIATE'!$C$5:$C$26='PM Protocol'!X$1)*('Data for SPECIATE'!$M$1:$AZ$1='PM Protocol'!$A77)*'Data for SPECIATE'!$M$5:$AZ$26)/VLOOKUP(X$1,'Data for SPECIATE'!$C$5:$L$26,10,FALSE)</f>
        <v>0</v>
      </c>
      <c r="Y77" s="188" cm="1">
        <f t="array" ref="Y77">SUMPRODUCT(('Data for SPECIATE'!$C$5:$C$26='PM Protocol'!Y$1)*('Data for SPECIATE'!$M$1:$AZ$1='PM Protocol'!$A77)*'Data for SPECIATE'!$M$5:$AZ$26)/VLOOKUP(Y$1,'Data for SPECIATE'!$C$5:$L$26,10,FALSE)</f>
        <v>0</v>
      </c>
      <c r="Z77" s="188" cm="1">
        <f t="array" ref="Z77">SUMPRODUCT(('Data for SPECIATE'!$C$5:$C$26='PM Protocol'!Z$1)*('Data for SPECIATE'!$M$1:$AZ$1='PM Protocol'!$A77)*'Data for SPECIATE'!$M$5:$AZ$26)/VLOOKUP(Z$1,'Data for SPECIATE'!$C$5:$L$26,10,FALSE)</f>
        <v>0</v>
      </c>
    </row>
    <row r="78" spans="1:26">
      <c r="A78">
        <v>666</v>
      </c>
      <c r="B78" t="str">
        <f>HLOOKUP(A78,'Data for SPECIATE'!$M$1:$AZ$2,2,FALSE)</f>
        <v>XRF</v>
      </c>
      <c r="C78" s="191">
        <f>IFERROR(VLOOKUP(A78,Oxides!$A$2:$G$39,7,FALSE),0)</f>
        <v>1.0329999999999999</v>
      </c>
      <c r="D78" t="s">
        <v>623</v>
      </c>
      <c r="E78" s="188" cm="1">
        <f t="array" ref="E78">SUMPRODUCT(('Data for SPECIATE'!$C$5:$C$26='PM Protocol'!E$1)*('Data for SPECIATE'!$M$1:$AZ$1='PM Protocol'!$A78)*'Data for SPECIATE'!$M$5:$AZ$26)/VLOOKUP(E$1,'Data for SPECIATE'!$C$5:$L$26,10,FALSE)</f>
        <v>0</v>
      </c>
      <c r="F78" s="188" cm="1">
        <f t="array" ref="F78">SUMPRODUCT(('Data for SPECIATE'!$C$5:$C$26='PM Protocol'!F$1)*('Data for SPECIATE'!$M$1:$AZ$1='PM Protocol'!$A78)*'Data for SPECIATE'!$M$5:$AZ$26)/VLOOKUP(F$1,'Data for SPECIATE'!$C$5:$L$26,10,FALSE)</f>
        <v>8.2075832801145149E-6</v>
      </c>
      <c r="G78" s="188" cm="1">
        <f t="array" ref="G78">SUMPRODUCT(('Data for SPECIATE'!$C$5:$C$26='PM Protocol'!G$1)*('Data for SPECIATE'!$M$1:$AZ$1='PM Protocol'!$A78)*'Data for SPECIATE'!$M$5:$AZ$26)/VLOOKUP(G$1,'Data for SPECIATE'!$C$5:$L$26,10,FALSE)</f>
        <v>1.7067645767617685E-5</v>
      </c>
      <c r="H78" s="188" cm="1">
        <f t="array" ref="H78">SUMPRODUCT(('Data for SPECIATE'!$C$5:$C$26='PM Protocol'!H$1)*('Data for SPECIATE'!$M$1:$AZ$1='PM Protocol'!$A78)*'Data for SPECIATE'!$M$5:$AZ$26)/VLOOKUP(H$1,'Data for SPECIATE'!$C$5:$L$26,10,FALSE)</f>
        <v>3.8635253170462972E-5</v>
      </c>
      <c r="I78" s="188" cm="1">
        <f t="array" ref="I78">SUMPRODUCT(('Data for SPECIATE'!$C$5:$C$26='PM Protocol'!I$1)*('Data for SPECIATE'!$M$1:$AZ$1='PM Protocol'!$A78)*'Data for SPECIATE'!$M$5:$AZ$26)/VLOOKUP(I$1,'Data for SPECIATE'!$C$5:$L$26,10,FALSE)</f>
        <v>0</v>
      </c>
      <c r="J78" s="188" cm="1">
        <f t="array" ref="J78">SUMPRODUCT(('Data for SPECIATE'!$C$5:$C$26='PM Protocol'!J$1)*('Data for SPECIATE'!$M$1:$AZ$1='PM Protocol'!$A78)*'Data for SPECIATE'!$M$5:$AZ$26)/VLOOKUP(J$1,'Data for SPECIATE'!$C$5:$L$26,10,FALSE)</f>
        <v>2.2351775372767823E-5</v>
      </c>
      <c r="K78" s="188" cm="1">
        <f t="array" ref="K78">SUMPRODUCT(('Data for SPECIATE'!$C$5:$C$26='PM Protocol'!K$1)*('Data for SPECIATE'!$M$1:$AZ$1='PM Protocol'!$A78)*'Data for SPECIATE'!$M$5:$AZ$26)/VLOOKUP(K$1,'Data for SPECIATE'!$C$5:$L$26,10,FALSE)</f>
        <v>0</v>
      </c>
      <c r="L78" s="188" cm="1">
        <f t="array" ref="L78">SUMPRODUCT(('Data for SPECIATE'!$C$5:$C$26='PM Protocol'!L$1)*('Data for SPECIATE'!$M$1:$AZ$1='PM Protocol'!$A78)*'Data for SPECIATE'!$M$5:$AZ$26)/VLOOKUP(L$1,'Data for SPECIATE'!$C$5:$L$26,10,FALSE)</f>
        <v>1.9959041234522514E-5</v>
      </c>
      <c r="M78" s="188" cm="1">
        <f t="array" ref="M78">SUMPRODUCT(('Data for SPECIATE'!$C$5:$C$26='PM Protocol'!M$1)*('Data for SPECIATE'!$M$1:$AZ$1='PM Protocol'!$A78)*'Data for SPECIATE'!$M$5:$AZ$26)/VLOOKUP(M$1,'Data for SPECIATE'!$C$5:$L$26,10,FALSE)</f>
        <v>0</v>
      </c>
      <c r="N78" s="188" cm="1">
        <f t="array" ref="N78">SUMPRODUCT(('Data for SPECIATE'!$C$5:$C$26='PM Protocol'!N$1)*('Data for SPECIATE'!$M$1:$AZ$1='PM Protocol'!$A78)*'Data for SPECIATE'!$M$5:$AZ$26)/VLOOKUP(N$1,'Data for SPECIATE'!$C$5:$L$26,10,FALSE)</f>
        <v>3.7561449723760276E-6</v>
      </c>
      <c r="O78" s="188" cm="1">
        <f t="array" ref="O78">SUMPRODUCT(('Data for SPECIATE'!$C$5:$C$26='PM Protocol'!O$1)*('Data for SPECIATE'!$M$1:$AZ$1='PM Protocol'!$A78)*'Data for SPECIATE'!$M$5:$AZ$26)/VLOOKUP(O$1,'Data for SPECIATE'!$C$5:$L$26,10,FALSE)</f>
        <v>0</v>
      </c>
      <c r="P78" s="188" cm="1">
        <f t="array" ref="P78">SUMPRODUCT(('Data for SPECIATE'!$C$5:$C$26='PM Protocol'!P$1)*('Data for SPECIATE'!$M$1:$AZ$1='PM Protocol'!$A78)*'Data for SPECIATE'!$M$5:$AZ$26)/VLOOKUP(P$1,'Data for SPECIATE'!$C$5:$L$26,10,FALSE)</f>
        <v>1.4253918764891514E-5</v>
      </c>
      <c r="Q78" s="188" cm="1">
        <f t="array" ref="Q78">SUMPRODUCT(('Data for SPECIATE'!$C$5:$C$26='PM Protocol'!Q$1)*('Data for SPECIATE'!$M$1:$AZ$1='PM Protocol'!$A78)*'Data for SPECIATE'!$M$5:$AZ$26)/VLOOKUP(Q$1,'Data for SPECIATE'!$C$5:$L$26,10,FALSE)</f>
        <v>1.0581598292925388E-4</v>
      </c>
      <c r="R78" s="188" cm="1">
        <f t="array" ref="R78">SUMPRODUCT(('Data for SPECIATE'!$C$5:$C$26='PM Protocol'!R$1)*('Data for SPECIATE'!$M$1:$AZ$1='PM Protocol'!$A78)*'Data for SPECIATE'!$M$5:$AZ$26)/SUMPRODUCT(('Data for SPECIATE'!$C$5:$C$26='PM Protocol'!R$1)*'Data for SPECIATE'!$M$5:$AZ$26)</f>
        <v>0</v>
      </c>
      <c r="S78" s="188" cm="1">
        <f t="array" ref="S78">SUMPRODUCT(('Data for SPECIATE'!$C$5:$C$26='PM Protocol'!S$1)*('Data for SPECIATE'!$M$1:$AZ$1='PM Protocol'!$A78)*'Data for SPECIATE'!$M$5:$AZ$26)/VLOOKUP(S$1,'Data for SPECIATE'!$C$5:$L$26,10,FALSE)</f>
        <v>0</v>
      </c>
      <c r="T78" s="188" cm="1">
        <f t="array" ref="T78">SUMPRODUCT(('Data for SPECIATE'!$C$5:$C$26='PM Protocol'!T$1)*('Data for SPECIATE'!$M$1:$AZ$1='PM Protocol'!$A78)*'Data for SPECIATE'!$M$5:$AZ$26)/VLOOKUP(T$1,'Data for SPECIATE'!$C$5:$L$26,10,FALSE)</f>
        <v>0</v>
      </c>
      <c r="U78" s="188" cm="1">
        <f t="array" ref="U78">SUMPRODUCT(('Data for SPECIATE'!$C$5:$C$26='PM Protocol'!U$1)*('Data for SPECIATE'!$M$1:$AZ$1='PM Protocol'!$A78)*'Data for SPECIATE'!$M$5:$AZ$26)/VLOOKUP(U$1,'Data for SPECIATE'!$C$5:$L$26,10,FALSE)</f>
        <v>0</v>
      </c>
      <c r="V78" s="188" cm="1">
        <f t="array" ref="V78">SUMPRODUCT(('Data for SPECIATE'!$C$5:$C$26='PM Protocol'!V$1)*('Data for SPECIATE'!$M$1:$AZ$1='PM Protocol'!$A78)*'Data for SPECIATE'!$M$5:$AZ$26)/VLOOKUP(V$1,'Data for SPECIATE'!$C$5:$L$26,10,FALSE)</f>
        <v>1.0127590789507793E-5</v>
      </c>
      <c r="W78" s="188" cm="1">
        <f t="array" ref="W78">SUMPRODUCT(('Data for SPECIATE'!$C$5:$C$26='PM Protocol'!W$1)*('Data for SPECIATE'!$M$1:$AZ$1='PM Protocol'!$A78)*'Data for SPECIATE'!$M$5:$AZ$26)/VLOOKUP(W$1,'Data for SPECIATE'!$C$5:$L$26,10,FALSE)</f>
        <v>0</v>
      </c>
      <c r="X78" s="188" cm="1">
        <f t="array" ref="X78">SUMPRODUCT(('Data for SPECIATE'!$C$5:$C$26='PM Protocol'!X$1)*('Data for SPECIATE'!$M$1:$AZ$1='PM Protocol'!$A78)*'Data for SPECIATE'!$M$5:$AZ$26)/VLOOKUP(X$1,'Data for SPECIATE'!$C$5:$L$26,10,FALSE)</f>
        <v>1.127770203655586E-4</v>
      </c>
      <c r="Y78" s="188" cm="1">
        <f t="array" ref="Y78">SUMPRODUCT(('Data for SPECIATE'!$C$5:$C$26='PM Protocol'!Y$1)*('Data for SPECIATE'!$M$1:$AZ$1='PM Protocol'!$A78)*'Data for SPECIATE'!$M$5:$AZ$26)/VLOOKUP(Y$1,'Data for SPECIATE'!$C$5:$L$26,10,FALSE)</f>
        <v>1.4986713495500416E-5</v>
      </c>
      <c r="Z78" s="188" cm="1">
        <f t="array" ref="Z78">SUMPRODUCT(('Data for SPECIATE'!$C$5:$C$26='PM Protocol'!Z$1)*('Data for SPECIATE'!$M$1:$AZ$1='PM Protocol'!$A78)*'Data for SPECIATE'!$M$5:$AZ$26)/VLOOKUP(Z$1,'Data for SPECIATE'!$C$5:$L$26,10,FALSE)</f>
        <v>0</v>
      </c>
    </row>
    <row r="79" spans="1:26">
      <c r="A79">
        <v>767</v>
      </c>
      <c r="B79" t="str">
        <f>HLOOKUP(A79,'Data for SPECIATE'!$M$1:$AZ$2,2,FALSE)</f>
        <v>XRF</v>
      </c>
      <c r="C79" s="191">
        <f>IFERROR(VLOOKUP(A79,Oxides!$A$2:$G$39,7,FALSE),0)</f>
        <v>0.78500000000000003</v>
      </c>
      <c r="D79" t="s">
        <v>629</v>
      </c>
      <c r="E79" s="188" cm="1">
        <f t="array" ref="E79">SUMPRODUCT(('Data for SPECIATE'!$C$5:$C$26='PM Protocol'!E$1)*('Data for SPECIATE'!$M$1:$AZ$1='PM Protocol'!$A79)*'Data for SPECIATE'!$M$5:$AZ$26)/VLOOKUP(E$1,'Data for SPECIATE'!$C$5:$L$26,10,FALSE)</f>
        <v>3.0925090832350106E-6</v>
      </c>
      <c r="F79" s="188" cm="1">
        <f t="array" ref="F79">SUMPRODUCT(('Data for SPECIATE'!$C$5:$C$26='PM Protocol'!F$1)*('Data for SPECIATE'!$M$1:$AZ$1='PM Protocol'!$A79)*'Data for SPECIATE'!$M$5:$AZ$26)/VLOOKUP(F$1,'Data for SPECIATE'!$C$5:$L$26,10,FALSE)</f>
        <v>3.5589123520888595E-6</v>
      </c>
      <c r="G79" s="188" cm="1">
        <f t="array" ref="G79">SUMPRODUCT(('Data for SPECIATE'!$C$5:$C$26='PM Protocol'!G$1)*('Data for SPECIATE'!$M$1:$AZ$1='PM Protocol'!$A79)*'Data for SPECIATE'!$M$5:$AZ$26)/VLOOKUP(G$1,'Data for SPECIATE'!$C$5:$L$26,10,FALSE)</f>
        <v>8.6890428805460202E-6</v>
      </c>
      <c r="H79" s="188" cm="1">
        <f t="array" ref="H79">SUMPRODUCT(('Data for SPECIATE'!$C$5:$C$26='PM Protocol'!H$1)*('Data for SPECIATE'!$M$1:$AZ$1='PM Protocol'!$A79)*'Data for SPECIATE'!$M$5:$AZ$26)/VLOOKUP(H$1,'Data for SPECIATE'!$C$5:$L$26,10,FALSE)</f>
        <v>0</v>
      </c>
      <c r="I79" s="188" cm="1">
        <f t="array" ref="I79">SUMPRODUCT(('Data for SPECIATE'!$C$5:$C$26='PM Protocol'!I$1)*('Data for SPECIATE'!$M$1:$AZ$1='PM Protocol'!$A79)*'Data for SPECIATE'!$M$5:$AZ$26)/VLOOKUP(I$1,'Data for SPECIATE'!$C$5:$L$26,10,FALSE)</f>
        <v>1.0226805710910379E-5</v>
      </c>
      <c r="J79" s="188" cm="1">
        <f t="array" ref="J79">SUMPRODUCT(('Data for SPECIATE'!$C$5:$C$26='PM Protocol'!J$1)*('Data for SPECIATE'!$M$1:$AZ$1='PM Protocol'!$A79)*'Data for SPECIATE'!$M$5:$AZ$26)/VLOOKUP(J$1,'Data for SPECIATE'!$C$5:$L$26,10,FALSE)</f>
        <v>0</v>
      </c>
      <c r="K79" s="188" cm="1">
        <f t="array" ref="K79">SUMPRODUCT(('Data for SPECIATE'!$C$5:$C$26='PM Protocol'!K$1)*('Data for SPECIATE'!$M$1:$AZ$1='PM Protocol'!$A79)*'Data for SPECIATE'!$M$5:$AZ$26)/VLOOKUP(K$1,'Data for SPECIATE'!$C$5:$L$26,10,FALSE)</f>
        <v>0</v>
      </c>
      <c r="L79" s="188" cm="1">
        <f t="array" ref="L79">SUMPRODUCT(('Data for SPECIATE'!$C$5:$C$26='PM Protocol'!L$1)*('Data for SPECIATE'!$M$1:$AZ$1='PM Protocol'!$A79)*'Data for SPECIATE'!$M$5:$AZ$26)/VLOOKUP(L$1,'Data for SPECIATE'!$C$5:$L$26,10,FALSE)</f>
        <v>0</v>
      </c>
      <c r="M79" s="188" cm="1">
        <f t="array" ref="M79">SUMPRODUCT(('Data for SPECIATE'!$C$5:$C$26='PM Protocol'!M$1)*('Data for SPECIATE'!$M$1:$AZ$1='PM Protocol'!$A79)*'Data for SPECIATE'!$M$5:$AZ$26)/VLOOKUP(M$1,'Data for SPECIATE'!$C$5:$L$26,10,FALSE)</f>
        <v>0</v>
      </c>
      <c r="N79" s="188" cm="1">
        <f t="array" ref="N79">SUMPRODUCT(('Data for SPECIATE'!$C$5:$C$26='PM Protocol'!N$1)*('Data for SPECIATE'!$M$1:$AZ$1='PM Protocol'!$A79)*'Data for SPECIATE'!$M$5:$AZ$26)/VLOOKUP(N$1,'Data for SPECIATE'!$C$5:$L$26,10,FALSE)</f>
        <v>0</v>
      </c>
      <c r="O79" s="188" cm="1">
        <f t="array" ref="O79">SUMPRODUCT(('Data for SPECIATE'!$C$5:$C$26='PM Protocol'!O$1)*('Data for SPECIATE'!$M$1:$AZ$1='PM Protocol'!$A79)*'Data for SPECIATE'!$M$5:$AZ$26)/VLOOKUP(O$1,'Data for SPECIATE'!$C$5:$L$26,10,FALSE)</f>
        <v>0</v>
      </c>
      <c r="P79" s="188" cm="1">
        <f t="array" ref="P79">SUMPRODUCT(('Data for SPECIATE'!$C$5:$C$26='PM Protocol'!P$1)*('Data for SPECIATE'!$M$1:$AZ$1='PM Protocol'!$A79)*'Data for SPECIATE'!$M$5:$AZ$26)/VLOOKUP(P$1,'Data for SPECIATE'!$C$5:$L$26,10,FALSE)</f>
        <v>0</v>
      </c>
      <c r="Q79" s="188" cm="1">
        <f t="array" ref="Q79">SUMPRODUCT(('Data for SPECIATE'!$C$5:$C$26='PM Protocol'!Q$1)*('Data for SPECIATE'!$M$1:$AZ$1='PM Protocol'!$A79)*'Data for SPECIATE'!$M$5:$AZ$26)/VLOOKUP(Q$1,'Data for SPECIATE'!$C$5:$L$26,10,FALSE)</f>
        <v>0</v>
      </c>
      <c r="R79" s="188" cm="1">
        <f t="array" ref="R79">SUMPRODUCT(('Data for SPECIATE'!$C$5:$C$26='PM Protocol'!R$1)*('Data for SPECIATE'!$M$1:$AZ$1='PM Protocol'!$A79)*'Data for SPECIATE'!$M$5:$AZ$26)/SUMPRODUCT(('Data for SPECIATE'!$C$5:$C$26='PM Protocol'!R$1)*'Data for SPECIATE'!$M$5:$AZ$26)</f>
        <v>0</v>
      </c>
      <c r="S79" s="188" cm="1">
        <f t="array" ref="S79">SUMPRODUCT(('Data for SPECIATE'!$C$5:$C$26='PM Protocol'!S$1)*('Data for SPECIATE'!$M$1:$AZ$1='PM Protocol'!$A79)*'Data for SPECIATE'!$M$5:$AZ$26)/VLOOKUP(S$1,'Data for SPECIATE'!$C$5:$L$26,10,FALSE)</f>
        <v>0</v>
      </c>
      <c r="T79" s="188" cm="1">
        <f t="array" ref="T79">SUMPRODUCT(('Data for SPECIATE'!$C$5:$C$26='PM Protocol'!T$1)*('Data for SPECIATE'!$M$1:$AZ$1='PM Protocol'!$A79)*'Data for SPECIATE'!$M$5:$AZ$26)/VLOOKUP(T$1,'Data for SPECIATE'!$C$5:$L$26,10,FALSE)</f>
        <v>0</v>
      </c>
      <c r="U79" s="188" cm="1">
        <f t="array" ref="U79">SUMPRODUCT(('Data for SPECIATE'!$C$5:$C$26='PM Protocol'!U$1)*('Data for SPECIATE'!$M$1:$AZ$1='PM Protocol'!$A79)*'Data for SPECIATE'!$M$5:$AZ$26)/VLOOKUP(U$1,'Data for SPECIATE'!$C$5:$L$26,10,FALSE)</f>
        <v>0</v>
      </c>
      <c r="V79" s="188" cm="1">
        <f t="array" ref="V79">SUMPRODUCT(('Data for SPECIATE'!$C$5:$C$26='PM Protocol'!V$1)*('Data for SPECIATE'!$M$1:$AZ$1='PM Protocol'!$A79)*'Data for SPECIATE'!$M$5:$AZ$26)/VLOOKUP(V$1,'Data for SPECIATE'!$C$5:$L$26,10,FALSE)</f>
        <v>0</v>
      </c>
      <c r="W79" s="188" cm="1">
        <f t="array" ref="W79">SUMPRODUCT(('Data for SPECIATE'!$C$5:$C$26='PM Protocol'!W$1)*('Data for SPECIATE'!$M$1:$AZ$1='PM Protocol'!$A79)*'Data for SPECIATE'!$M$5:$AZ$26)/VLOOKUP(W$1,'Data for SPECIATE'!$C$5:$L$26,10,FALSE)</f>
        <v>0</v>
      </c>
      <c r="X79" s="188" cm="1">
        <f t="array" ref="X79">SUMPRODUCT(('Data for SPECIATE'!$C$5:$C$26='PM Protocol'!X$1)*('Data for SPECIATE'!$M$1:$AZ$1='PM Protocol'!$A79)*'Data for SPECIATE'!$M$5:$AZ$26)/VLOOKUP(X$1,'Data for SPECIATE'!$C$5:$L$26,10,FALSE)</f>
        <v>1.5560835870692733E-5</v>
      </c>
      <c r="Y79" s="188" cm="1">
        <f t="array" ref="Y79">SUMPRODUCT(('Data for SPECIATE'!$C$5:$C$26='PM Protocol'!Y$1)*('Data for SPECIATE'!$M$1:$AZ$1='PM Protocol'!$A79)*'Data for SPECIATE'!$M$5:$AZ$26)/VLOOKUP(Y$1,'Data for SPECIATE'!$C$5:$L$26,10,FALSE)</f>
        <v>0</v>
      </c>
      <c r="Z79" s="188" cm="1">
        <f t="array" ref="Z79">SUMPRODUCT(('Data for SPECIATE'!$C$5:$C$26='PM Protocol'!Z$1)*('Data for SPECIATE'!$M$1:$AZ$1='PM Protocol'!$A79)*'Data for SPECIATE'!$M$5:$AZ$26)/VLOOKUP(Z$1,'Data for SPECIATE'!$C$5:$L$26,10,FALSE)</f>
        <v>0</v>
      </c>
    </row>
    <row r="80" spans="1:26">
      <c r="A80">
        <v>347</v>
      </c>
      <c r="B80" t="str">
        <f>HLOOKUP(A80,'Data for SPECIATE'!$M$1:$AZ$2,2,FALSE)</f>
        <v>XRF</v>
      </c>
      <c r="C80" s="191">
        <f>IFERROR(VLOOKUP(A80,Oxides!$A$2:$G$39,7,FALSE),0)</f>
        <v>0.69199999999999995</v>
      </c>
      <c r="D80" t="s">
        <v>630</v>
      </c>
      <c r="E80" s="188" cm="1">
        <f t="array" ref="E80">SUMPRODUCT(('Data for SPECIATE'!$C$5:$C$26='PM Protocol'!E$1)*('Data for SPECIATE'!$M$1:$AZ$1='PM Protocol'!$A80)*'Data for SPECIATE'!$M$5:$AZ$26)/VLOOKUP(E$1,'Data for SPECIATE'!$C$5:$L$26,10,FALSE)</f>
        <v>0</v>
      </c>
      <c r="F80" s="188" cm="1">
        <f t="array" ref="F80">SUMPRODUCT(('Data for SPECIATE'!$C$5:$C$26='PM Protocol'!F$1)*('Data for SPECIATE'!$M$1:$AZ$1='PM Protocol'!$A80)*'Data for SPECIATE'!$M$5:$AZ$26)/VLOOKUP(F$1,'Data for SPECIATE'!$C$5:$L$26,10,FALSE)</f>
        <v>0</v>
      </c>
      <c r="G80" s="188" cm="1">
        <f t="array" ref="G80">SUMPRODUCT(('Data for SPECIATE'!$C$5:$C$26='PM Protocol'!G$1)*('Data for SPECIATE'!$M$1:$AZ$1='PM Protocol'!$A80)*'Data for SPECIATE'!$M$5:$AZ$26)/VLOOKUP(G$1,'Data for SPECIATE'!$C$5:$L$26,10,FALSE)</f>
        <v>0</v>
      </c>
      <c r="H80" s="188" cm="1">
        <f t="array" ref="H80">SUMPRODUCT(('Data for SPECIATE'!$C$5:$C$26='PM Protocol'!H$1)*('Data for SPECIATE'!$M$1:$AZ$1='PM Protocol'!$A80)*'Data for SPECIATE'!$M$5:$AZ$26)/VLOOKUP(H$1,'Data for SPECIATE'!$C$5:$L$26,10,FALSE)</f>
        <v>0</v>
      </c>
      <c r="I80" s="188" cm="1">
        <f t="array" ref="I80">SUMPRODUCT(('Data for SPECIATE'!$C$5:$C$26='PM Protocol'!I$1)*('Data for SPECIATE'!$M$1:$AZ$1='PM Protocol'!$A80)*'Data for SPECIATE'!$M$5:$AZ$26)/VLOOKUP(I$1,'Data for SPECIATE'!$C$5:$L$26,10,FALSE)</f>
        <v>0</v>
      </c>
      <c r="J80" s="188" cm="1">
        <f t="array" ref="J80">SUMPRODUCT(('Data for SPECIATE'!$C$5:$C$26='PM Protocol'!J$1)*('Data for SPECIATE'!$M$1:$AZ$1='PM Protocol'!$A80)*'Data for SPECIATE'!$M$5:$AZ$26)/VLOOKUP(J$1,'Data for SPECIATE'!$C$5:$L$26,10,FALSE)</f>
        <v>0</v>
      </c>
      <c r="K80" s="188" cm="1">
        <f t="array" ref="K80">SUMPRODUCT(('Data for SPECIATE'!$C$5:$C$26='PM Protocol'!K$1)*('Data for SPECIATE'!$M$1:$AZ$1='PM Protocol'!$A80)*'Data for SPECIATE'!$M$5:$AZ$26)/VLOOKUP(K$1,'Data for SPECIATE'!$C$5:$L$26,10,FALSE)</f>
        <v>0</v>
      </c>
      <c r="L80" s="188" cm="1">
        <f t="array" ref="L80">SUMPRODUCT(('Data for SPECIATE'!$C$5:$C$26='PM Protocol'!L$1)*('Data for SPECIATE'!$M$1:$AZ$1='PM Protocol'!$A80)*'Data for SPECIATE'!$M$5:$AZ$26)/VLOOKUP(L$1,'Data for SPECIATE'!$C$5:$L$26,10,FALSE)</f>
        <v>0</v>
      </c>
      <c r="M80" s="188" cm="1">
        <f t="array" ref="M80">SUMPRODUCT(('Data for SPECIATE'!$C$5:$C$26='PM Protocol'!M$1)*('Data for SPECIATE'!$M$1:$AZ$1='PM Protocol'!$A80)*'Data for SPECIATE'!$M$5:$AZ$26)/VLOOKUP(M$1,'Data for SPECIATE'!$C$5:$L$26,10,FALSE)</f>
        <v>0</v>
      </c>
      <c r="N80" s="188" cm="1">
        <f t="array" ref="N80">SUMPRODUCT(('Data for SPECIATE'!$C$5:$C$26='PM Protocol'!N$1)*('Data for SPECIATE'!$M$1:$AZ$1='PM Protocol'!$A80)*'Data for SPECIATE'!$M$5:$AZ$26)/VLOOKUP(N$1,'Data for SPECIATE'!$C$5:$L$26,10,FALSE)</f>
        <v>0</v>
      </c>
      <c r="O80" s="188" cm="1">
        <f t="array" ref="O80">SUMPRODUCT(('Data for SPECIATE'!$C$5:$C$26='PM Protocol'!O$1)*('Data for SPECIATE'!$M$1:$AZ$1='PM Protocol'!$A80)*'Data for SPECIATE'!$M$5:$AZ$26)/VLOOKUP(O$1,'Data for SPECIATE'!$C$5:$L$26,10,FALSE)</f>
        <v>0</v>
      </c>
      <c r="P80" s="188" cm="1">
        <f t="array" ref="P80">SUMPRODUCT(('Data for SPECIATE'!$C$5:$C$26='PM Protocol'!P$1)*('Data for SPECIATE'!$M$1:$AZ$1='PM Protocol'!$A80)*'Data for SPECIATE'!$M$5:$AZ$26)/VLOOKUP(P$1,'Data for SPECIATE'!$C$5:$L$26,10,FALSE)</f>
        <v>7.1968232649040752E-5</v>
      </c>
      <c r="Q80" s="188" cm="1">
        <f t="array" ref="Q80">SUMPRODUCT(('Data for SPECIATE'!$C$5:$C$26='PM Protocol'!Q$1)*('Data for SPECIATE'!$M$1:$AZ$1='PM Protocol'!$A80)*'Data for SPECIATE'!$M$5:$AZ$26)/VLOOKUP(Q$1,'Data for SPECIATE'!$C$5:$L$26,10,FALSE)</f>
        <v>0</v>
      </c>
      <c r="R80" s="188" cm="1">
        <f t="array" ref="R80">SUMPRODUCT(('Data for SPECIATE'!$C$5:$C$26='PM Protocol'!R$1)*('Data for SPECIATE'!$M$1:$AZ$1='PM Protocol'!$A80)*'Data for SPECIATE'!$M$5:$AZ$26)/SUMPRODUCT(('Data for SPECIATE'!$C$5:$C$26='PM Protocol'!R$1)*'Data for SPECIATE'!$M$5:$AZ$26)</f>
        <v>7.7818466423907196E-4</v>
      </c>
      <c r="S80" s="188" cm="1">
        <f t="array" ref="S80">SUMPRODUCT(('Data for SPECIATE'!$C$5:$C$26='PM Protocol'!S$1)*('Data for SPECIATE'!$M$1:$AZ$1='PM Protocol'!$A80)*'Data for SPECIATE'!$M$5:$AZ$26)/VLOOKUP(S$1,'Data for SPECIATE'!$C$5:$L$26,10,FALSE)</f>
        <v>0</v>
      </c>
      <c r="T80" s="188" cm="1">
        <f t="array" ref="T80">SUMPRODUCT(('Data for SPECIATE'!$C$5:$C$26='PM Protocol'!T$1)*('Data for SPECIATE'!$M$1:$AZ$1='PM Protocol'!$A80)*'Data for SPECIATE'!$M$5:$AZ$26)/VLOOKUP(T$1,'Data for SPECIATE'!$C$5:$L$26,10,FALSE)</f>
        <v>4.7804234661898073E-4</v>
      </c>
      <c r="U80" s="188" cm="1">
        <f t="array" ref="U80">SUMPRODUCT(('Data for SPECIATE'!$C$5:$C$26='PM Protocol'!U$1)*('Data for SPECIATE'!$M$1:$AZ$1='PM Protocol'!$A80)*'Data for SPECIATE'!$M$5:$AZ$26)/VLOOKUP(U$1,'Data for SPECIATE'!$C$5:$L$26,10,FALSE)</f>
        <v>1.2147012593996271E-5</v>
      </c>
      <c r="V80" s="188" cm="1">
        <f t="array" ref="V80">SUMPRODUCT(('Data for SPECIATE'!$C$5:$C$26='PM Protocol'!V$1)*('Data for SPECIATE'!$M$1:$AZ$1='PM Protocol'!$A80)*'Data for SPECIATE'!$M$5:$AZ$26)/VLOOKUP(V$1,'Data for SPECIATE'!$C$5:$L$26,10,FALSE)</f>
        <v>2.3777349844810588E-4</v>
      </c>
      <c r="W80" s="188" cm="1">
        <f t="array" ref="W80">SUMPRODUCT(('Data for SPECIATE'!$C$5:$C$26='PM Protocol'!W$1)*('Data for SPECIATE'!$M$1:$AZ$1='PM Protocol'!$A80)*'Data for SPECIATE'!$M$5:$AZ$26)/VLOOKUP(W$1,'Data for SPECIATE'!$C$5:$L$26,10,FALSE)</f>
        <v>6.3988419315987933E-4</v>
      </c>
      <c r="X80" s="188" cm="1">
        <f t="array" ref="X80">SUMPRODUCT(('Data for SPECIATE'!$C$5:$C$26='PM Protocol'!X$1)*('Data for SPECIATE'!$M$1:$AZ$1='PM Protocol'!$A80)*'Data for SPECIATE'!$M$5:$AZ$26)/VLOOKUP(X$1,'Data for SPECIATE'!$C$5:$L$26,10,FALSE)</f>
        <v>1.5900758778709468E-3</v>
      </c>
      <c r="Y80" s="188" cm="1">
        <f t="array" ref="Y80">SUMPRODUCT(('Data for SPECIATE'!$C$5:$C$26='PM Protocol'!Y$1)*('Data for SPECIATE'!$M$1:$AZ$1='PM Protocol'!$A80)*'Data for SPECIATE'!$M$5:$AZ$26)/VLOOKUP(Y$1,'Data for SPECIATE'!$C$5:$L$26,10,FALSE)</f>
        <v>5.953557100849911E-6</v>
      </c>
      <c r="Z80" s="188" cm="1">
        <f t="array" ref="Z80">SUMPRODUCT(('Data for SPECIATE'!$C$5:$C$26='PM Protocol'!Z$1)*('Data for SPECIATE'!$M$1:$AZ$1='PM Protocol'!$A80)*'Data for SPECIATE'!$M$5:$AZ$26)/VLOOKUP(Z$1,'Data for SPECIATE'!$C$5:$L$26,10,FALSE)</f>
        <v>9.1563350645745245E-5</v>
      </c>
    </row>
    <row r="81" spans="1:26">
      <c r="A81">
        <v>379</v>
      </c>
      <c r="B81" t="str">
        <f>HLOOKUP(A81,'Data for SPECIATE'!$M$1:$AZ$2,2,FALSE)</f>
        <v>XRF</v>
      </c>
      <c r="C81" s="191">
        <f>IFERROR(VLOOKUP(A81,Oxides!$A$2:$G$39,7,FALSE),0)</f>
        <v>0.33900000000000002</v>
      </c>
      <c r="D81" t="s">
        <v>633</v>
      </c>
      <c r="E81" s="188" cm="1">
        <f t="array" ref="E81">SUMPRODUCT(('Data for SPECIATE'!$C$5:$C$26='PM Protocol'!E$1)*('Data for SPECIATE'!$M$1:$AZ$1='PM Protocol'!$A81)*'Data for SPECIATE'!$M$5:$AZ$26)/VLOOKUP(E$1,'Data for SPECIATE'!$C$5:$L$26,10,FALSE)</f>
        <v>1.2682093881452062E-6</v>
      </c>
      <c r="F81" s="188" cm="1">
        <f t="array" ref="F81">SUMPRODUCT(('Data for SPECIATE'!$C$5:$C$26='PM Protocol'!F$1)*('Data for SPECIATE'!$M$1:$AZ$1='PM Protocol'!$A81)*'Data for SPECIATE'!$M$5:$AZ$26)/VLOOKUP(F$1,'Data for SPECIATE'!$C$5:$L$26,10,FALSE)</f>
        <v>0</v>
      </c>
      <c r="G81" s="188" cm="1">
        <f t="array" ref="G81">SUMPRODUCT(('Data for SPECIATE'!$C$5:$C$26='PM Protocol'!G$1)*('Data for SPECIATE'!$M$1:$AZ$1='PM Protocol'!$A81)*'Data for SPECIATE'!$M$5:$AZ$26)/VLOOKUP(G$1,'Data for SPECIATE'!$C$5:$L$26,10,FALSE)</f>
        <v>1.5155471034977106E-6</v>
      </c>
      <c r="H81" s="188" cm="1">
        <f t="array" ref="H81">SUMPRODUCT(('Data for SPECIATE'!$C$5:$C$26='PM Protocol'!H$1)*('Data for SPECIATE'!$M$1:$AZ$1='PM Protocol'!$A81)*'Data for SPECIATE'!$M$5:$AZ$26)/VLOOKUP(H$1,'Data for SPECIATE'!$C$5:$L$26,10,FALSE)</f>
        <v>0</v>
      </c>
      <c r="I81" s="188" cm="1">
        <f t="array" ref="I81">SUMPRODUCT(('Data for SPECIATE'!$C$5:$C$26='PM Protocol'!I$1)*('Data for SPECIATE'!$M$1:$AZ$1='PM Protocol'!$A81)*'Data for SPECIATE'!$M$5:$AZ$26)/VLOOKUP(I$1,'Data for SPECIATE'!$C$5:$L$26,10,FALSE)</f>
        <v>2.2600964165587011E-6</v>
      </c>
      <c r="J81" s="188" cm="1">
        <f t="array" ref="J81">SUMPRODUCT(('Data for SPECIATE'!$C$5:$C$26='PM Protocol'!J$1)*('Data for SPECIATE'!$M$1:$AZ$1='PM Protocol'!$A81)*'Data for SPECIATE'!$M$5:$AZ$26)/VLOOKUP(J$1,'Data for SPECIATE'!$C$5:$L$26,10,FALSE)</f>
        <v>0</v>
      </c>
      <c r="K81" s="188" cm="1">
        <f t="array" ref="K81">SUMPRODUCT(('Data for SPECIATE'!$C$5:$C$26='PM Protocol'!K$1)*('Data for SPECIATE'!$M$1:$AZ$1='PM Protocol'!$A81)*'Data for SPECIATE'!$M$5:$AZ$26)/VLOOKUP(K$1,'Data for SPECIATE'!$C$5:$L$26,10,FALSE)</f>
        <v>0</v>
      </c>
      <c r="L81" s="188" cm="1">
        <f t="array" ref="L81">SUMPRODUCT(('Data for SPECIATE'!$C$5:$C$26='PM Protocol'!L$1)*('Data for SPECIATE'!$M$1:$AZ$1='PM Protocol'!$A81)*'Data for SPECIATE'!$M$5:$AZ$26)/VLOOKUP(L$1,'Data for SPECIATE'!$C$5:$L$26,10,FALSE)</f>
        <v>0</v>
      </c>
      <c r="M81" s="188" cm="1">
        <f t="array" ref="M81">SUMPRODUCT(('Data for SPECIATE'!$C$5:$C$26='PM Protocol'!M$1)*('Data for SPECIATE'!$M$1:$AZ$1='PM Protocol'!$A81)*'Data for SPECIATE'!$M$5:$AZ$26)/VLOOKUP(M$1,'Data for SPECIATE'!$C$5:$L$26,10,FALSE)</f>
        <v>0</v>
      </c>
      <c r="N81" s="188" cm="1">
        <f t="array" ref="N81">SUMPRODUCT(('Data for SPECIATE'!$C$5:$C$26='PM Protocol'!N$1)*('Data for SPECIATE'!$M$1:$AZ$1='PM Protocol'!$A81)*'Data for SPECIATE'!$M$5:$AZ$26)/VLOOKUP(N$1,'Data for SPECIATE'!$C$5:$L$26,10,FALSE)</f>
        <v>0</v>
      </c>
      <c r="O81" s="188" cm="1">
        <f t="array" ref="O81">SUMPRODUCT(('Data for SPECIATE'!$C$5:$C$26='PM Protocol'!O$1)*('Data for SPECIATE'!$M$1:$AZ$1='PM Protocol'!$A81)*'Data for SPECIATE'!$M$5:$AZ$26)/VLOOKUP(O$1,'Data for SPECIATE'!$C$5:$L$26,10,FALSE)</f>
        <v>7.2749867119581615E-6</v>
      </c>
      <c r="P81" s="188" cm="1">
        <f t="array" ref="P81">SUMPRODUCT(('Data for SPECIATE'!$C$5:$C$26='PM Protocol'!P$1)*('Data for SPECIATE'!$M$1:$AZ$1='PM Protocol'!$A81)*'Data for SPECIATE'!$M$5:$AZ$26)/VLOOKUP(P$1,'Data for SPECIATE'!$C$5:$L$26,10,FALSE)</f>
        <v>0</v>
      </c>
      <c r="Q81" s="188" cm="1">
        <f t="array" ref="Q81">SUMPRODUCT(('Data for SPECIATE'!$C$5:$C$26='PM Protocol'!Q$1)*('Data for SPECIATE'!$M$1:$AZ$1='PM Protocol'!$A81)*'Data for SPECIATE'!$M$5:$AZ$26)/VLOOKUP(Q$1,'Data for SPECIATE'!$C$5:$L$26,10,FALSE)</f>
        <v>1.1403832221442449E-5</v>
      </c>
      <c r="R81" s="188" cm="1">
        <f t="array" ref="R81">SUMPRODUCT(('Data for SPECIATE'!$C$5:$C$26='PM Protocol'!R$1)*('Data for SPECIATE'!$M$1:$AZ$1='PM Protocol'!$A81)*'Data for SPECIATE'!$M$5:$AZ$26)/SUMPRODUCT(('Data for SPECIATE'!$C$5:$C$26='PM Protocol'!R$1)*'Data for SPECIATE'!$M$5:$AZ$26)</f>
        <v>0</v>
      </c>
      <c r="S81" s="188" cm="1">
        <f t="array" ref="S81">SUMPRODUCT(('Data for SPECIATE'!$C$5:$C$26='PM Protocol'!S$1)*('Data for SPECIATE'!$M$1:$AZ$1='PM Protocol'!$A81)*'Data for SPECIATE'!$M$5:$AZ$26)/VLOOKUP(S$1,'Data for SPECIATE'!$C$5:$L$26,10,FALSE)</f>
        <v>0</v>
      </c>
      <c r="T81" s="188" cm="1">
        <f t="array" ref="T81">SUMPRODUCT(('Data for SPECIATE'!$C$5:$C$26='PM Protocol'!T$1)*('Data for SPECIATE'!$M$1:$AZ$1='PM Protocol'!$A81)*'Data for SPECIATE'!$M$5:$AZ$26)/VLOOKUP(T$1,'Data for SPECIATE'!$C$5:$L$26,10,FALSE)</f>
        <v>0</v>
      </c>
      <c r="U81" s="188" cm="1">
        <f t="array" ref="U81">SUMPRODUCT(('Data for SPECIATE'!$C$5:$C$26='PM Protocol'!U$1)*('Data for SPECIATE'!$M$1:$AZ$1='PM Protocol'!$A81)*'Data for SPECIATE'!$M$5:$AZ$26)/VLOOKUP(U$1,'Data for SPECIATE'!$C$5:$L$26,10,FALSE)</f>
        <v>0</v>
      </c>
      <c r="V81" s="188" cm="1">
        <f t="array" ref="V81">SUMPRODUCT(('Data for SPECIATE'!$C$5:$C$26='PM Protocol'!V$1)*('Data for SPECIATE'!$M$1:$AZ$1='PM Protocol'!$A81)*'Data for SPECIATE'!$M$5:$AZ$26)/VLOOKUP(V$1,'Data for SPECIATE'!$C$5:$L$26,10,FALSE)</f>
        <v>0</v>
      </c>
      <c r="W81" s="188" cm="1">
        <f t="array" ref="W81">SUMPRODUCT(('Data for SPECIATE'!$C$5:$C$26='PM Protocol'!W$1)*('Data for SPECIATE'!$M$1:$AZ$1='PM Protocol'!$A81)*'Data for SPECIATE'!$M$5:$AZ$26)/VLOOKUP(W$1,'Data for SPECIATE'!$C$5:$L$26,10,FALSE)</f>
        <v>0</v>
      </c>
      <c r="X81" s="188" cm="1">
        <f t="array" ref="X81">SUMPRODUCT(('Data for SPECIATE'!$C$5:$C$26='PM Protocol'!X$1)*('Data for SPECIATE'!$M$1:$AZ$1='PM Protocol'!$A81)*'Data for SPECIATE'!$M$5:$AZ$26)/VLOOKUP(X$1,'Data for SPECIATE'!$C$5:$L$26,10,FALSE)</f>
        <v>0</v>
      </c>
      <c r="Y81" s="188" cm="1">
        <f t="array" ref="Y81">SUMPRODUCT(('Data for SPECIATE'!$C$5:$C$26='PM Protocol'!Y$1)*('Data for SPECIATE'!$M$1:$AZ$1='PM Protocol'!$A81)*'Data for SPECIATE'!$M$5:$AZ$26)/VLOOKUP(Y$1,'Data for SPECIATE'!$C$5:$L$26,10,FALSE)</f>
        <v>0</v>
      </c>
      <c r="Z81" s="188" cm="1">
        <f t="array" ref="Z81">SUMPRODUCT(('Data for SPECIATE'!$C$5:$C$26='PM Protocol'!Z$1)*('Data for SPECIATE'!$M$1:$AZ$1='PM Protocol'!$A81)*'Data for SPECIATE'!$M$5:$AZ$26)/VLOOKUP(Z$1,'Data for SPECIATE'!$C$5:$L$26,10,FALSE)</f>
        <v>0</v>
      </c>
    </row>
    <row r="82" spans="1:26">
      <c r="A82">
        <v>612</v>
      </c>
      <c r="B82" t="str">
        <f>HLOOKUP(A82,'Data for SPECIATE'!$M$1:$AZ$2,2,FALSE)</f>
        <v>XRF</v>
      </c>
      <c r="C82" s="191">
        <f>IFERROR(VLOOKUP(A82,Oxides!$A$2:$G$39,7,FALSE),0)</f>
        <v>0.27300000000000002</v>
      </c>
      <c r="D82" t="s">
        <v>634</v>
      </c>
      <c r="E82" s="188" cm="1">
        <f t="array" ref="E82">SUMPRODUCT(('Data for SPECIATE'!$C$5:$C$26='PM Protocol'!E$1)*('Data for SPECIATE'!$M$1:$AZ$1='PM Protocol'!$A82)*'Data for SPECIATE'!$M$5:$AZ$26)/VLOOKUP(E$1,'Data for SPECIATE'!$C$5:$L$26,10,FALSE)</f>
        <v>3.5357835773498112E-6</v>
      </c>
      <c r="F82" s="188" cm="1">
        <f t="array" ref="F82">SUMPRODUCT(('Data for SPECIATE'!$C$5:$C$26='PM Protocol'!F$1)*('Data for SPECIATE'!$M$1:$AZ$1='PM Protocol'!$A82)*'Data for SPECIATE'!$M$5:$AZ$26)/VLOOKUP(F$1,'Data for SPECIATE'!$C$5:$L$26,10,FALSE)</f>
        <v>0</v>
      </c>
      <c r="G82" s="188" cm="1">
        <f t="array" ref="G82">SUMPRODUCT(('Data for SPECIATE'!$C$5:$C$26='PM Protocol'!G$1)*('Data for SPECIATE'!$M$1:$AZ$1='PM Protocol'!$A82)*'Data for SPECIATE'!$M$5:$AZ$26)/VLOOKUP(G$1,'Data for SPECIATE'!$C$5:$L$26,10,FALSE)</f>
        <v>0</v>
      </c>
      <c r="H82" s="188" cm="1">
        <f t="array" ref="H82">SUMPRODUCT(('Data for SPECIATE'!$C$5:$C$26='PM Protocol'!H$1)*('Data for SPECIATE'!$M$1:$AZ$1='PM Protocol'!$A82)*'Data for SPECIATE'!$M$5:$AZ$26)/VLOOKUP(H$1,'Data for SPECIATE'!$C$5:$L$26,10,FALSE)</f>
        <v>0</v>
      </c>
      <c r="I82" s="188" cm="1">
        <f t="array" ref="I82">SUMPRODUCT(('Data for SPECIATE'!$C$5:$C$26='PM Protocol'!I$1)*('Data for SPECIATE'!$M$1:$AZ$1='PM Protocol'!$A82)*'Data for SPECIATE'!$M$5:$AZ$26)/VLOOKUP(I$1,'Data for SPECIATE'!$C$5:$L$26,10,FALSE)</f>
        <v>0</v>
      </c>
      <c r="J82" s="188" cm="1">
        <f t="array" ref="J82">SUMPRODUCT(('Data for SPECIATE'!$C$5:$C$26='PM Protocol'!J$1)*('Data for SPECIATE'!$M$1:$AZ$1='PM Protocol'!$A82)*'Data for SPECIATE'!$M$5:$AZ$26)/VLOOKUP(J$1,'Data for SPECIATE'!$C$5:$L$26,10,FALSE)</f>
        <v>0</v>
      </c>
      <c r="K82" s="188" cm="1">
        <f t="array" ref="K82">SUMPRODUCT(('Data for SPECIATE'!$C$5:$C$26='PM Protocol'!K$1)*('Data for SPECIATE'!$M$1:$AZ$1='PM Protocol'!$A82)*'Data for SPECIATE'!$M$5:$AZ$26)/VLOOKUP(K$1,'Data for SPECIATE'!$C$5:$L$26,10,FALSE)</f>
        <v>0</v>
      </c>
      <c r="L82" s="188" cm="1">
        <f t="array" ref="L82">SUMPRODUCT(('Data for SPECIATE'!$C$5:$C$26='PM Protocol'!L$1)*('Data for SPECIATE'!$M$1:$AZ$1='PM Protocol'!$A82)*'Data for SPECIATE'!$M$5:$AZ$26)/VLOOKUP(L$1,'Data for SPECIATE'!$C$5:$L$26,10,FALSE)</f>
        <v>0</v>
      </c>
      <c r="M82" s="188" cm="1">
        <f t="array" ref="M82">SUMPRODUCT(('Data for SPECIATE'!$C$5:$C$26='PM Protocol'!M$1)*('Data for SPECIATE'!$M$1:$AZ$1='PM Protocol'!$A82)*'Data for SPECIATE'!$M$5:$AZ$26)/VLOOKUP(M$1,'Data for SPECIATE'!$C$5:$L$26,10,FALSE)</f>
        <v>0</v>
      </c>
      <c r="N82" s="188" cm="1">
        <f t="array" ref="N82">SUMPRODUCT(('Data for SPECIATE'!$C$5:$C$26='PM Protocol'!N$1)*('Data for SPECIATE'!$M$1:$AZ$1='PM Protocol'!$A82)*'Data for SPECIATE'!$M$5:$AZ$26)/VLOOKUP(N$1,'Data for SPECIATE'!$C$5:$L$26,10,FALSE)</f>
        <v>0</v>
      </c>
      <c r="O82" s="188" cm="1">
        <f t="array" ref="O82">SUMPRODUCT(('Data for SPECIATE'!$C$5:$C$26='PM Protocol'!O$1)*('Data for SPECIATE'!$M$1:$AZ$1='PM Protocol'!$A82)*'Data for SPECIATE'!$M$5:$AZ$26)/VLOOKUP(O$1,'Data for SPECIATE'!$C$5:$L$26,10,FALSE)</f>
        <v>0</v>
      </c>
      <c r="P82" s="188" cm="1">
        <f t="array" ref="P82">SUMPRODUCT(('Data for SPECIATE'!$C$5:$C$26='PM Protocol'!P$1)*('Data for SPECIATE'!$M$1:$AZ$1='PM Protocol'!$A82)*'Data for SPECIATE'!$M$5:$AZ$26)/VLOOKUP(P$1,'Data for SPECIATE'!$C$5:$L$26,10,FALSE)</f>
        <v>1.109483947737054E-6</v>
      </c>
      <c r="Q82" s="188" cm="1">
        <f t="array" ref="Q82">SUMPRODUCT(('Data for SPECIATE'!$C$5:$C$26='PM Protocol'!Q$1)*('Data for SPECIATE'!$M$1:$AZ$1='PM Protocol'!$A82)*'Data for SPECIATE'!$M$5:$AZ$26)/VLOOKUP(Q$1,'Data for SPECIATE'!$C$5:$L$26,10,FALSE)</f>
        <v>0</v>
      </c>
      <c r="R82" s="188" cm="1">
        <f t="array" ref="R82">SUMPRODUCT(('Data for SPECIATE'!$C$5:$C$26='PM Protocol'!R$1)*('Data for SPECIATE'!$M$1:$AZ$1='PM Protocol'!$A82)*'Data for SPECIATE'!$M$5:$AZ$26)/SUMPRODUCT(('Data for SPECIATE'!$C$5:$C$26='PM Protocol'!R$1)*'Data for SPECIATE'!$M$5:$AZ$26)</f>
        <v>0</v>
      </c>
      <c r="S82" s="188" cm="1">
        <f t="array" ref="S82">SUMPRODUCT(('Data for SPECIATE'!$C$5:$C$26='PM Protocol'!S$1)*('Data for SPECIATE'!$M$1:$AZ$1='PM Protocol'!$A82)*'Data for SPECIATE'!$M$5:$AZ$26)/VLOOKUP(S$1,'Data for SPECIATE'!$C$5:$L$26,10,FALSE)</f>
        <v>0</v>
      </c>
      <c r="T82" s="188" cm="1">
        <f t="array" ref="T82">SUMPRODUCT(('Data for SPECIATE'!$C$5:$C$26='PM Protocol'!T$1)*('Data for SPECIATE'!$M$1:$AZ$1='PM Protocol'!$A82)*'Data for SPECIATE'!$M$5:$AZ$26)/VLOOKUP(T$1,'Data for SPECIATE'!$C$5:$L$26,10,FALSE)</f>
        <v>0</v>
      </c>
      <c r="U82" s="188" cm="1">
        <f t="array" ref="U82">SUMPRODUCT(('Data for SPECIATE'!$C$5:$C$26='PM Protocol'!U$1)*('Data for SPECIATE'!$M$1:$AZ$1='PM Protocol'!$A82)*'Data for SPECIATE'!$M$5:$AZ$26)/VLOOKUP(U$1,'Data for SPECIATE'!$C$5:$L$26,10,FALSE)</f>
        <v>0</v>
      </c>
      <c r="V82" s="188" cm="1">
        <f t="array" ref="V82">SUMPRODUCT(('Data for SPECIATE'!$C$5:$C$26='PM Protocol'!V$1)*('Data for SPECIATE'!$M$1:$AZ$1='PM Protocol'!$A82)*'Data for SPECIATE'!$M$5:$AZ$26)/VLOOKUP(V$1,'Data for SPECIATE'!$C$5:$L$26,10,FALSE)</f>
        <v>0</v>
      </c>
      <c r="W82" s="188" cm="1">
        <f t="array" ref="W82">SUMPRODUCT(('Data for SPECIATE'!$C$5:$C$26='PM Protocol'!W$1)*('Data for SPECIATE'!$M$1:$AZ$1='PM Protocol'!$A82)*'Data for SPECIATE'!$M$5:$AZ$26)/VLOOKUP(W$1,'Data for SPECIATE'!$C$5:$L$26,10,FALSE)</f>
        <v>1.1445782095264814E-4</v>
      </c>
      <c r="X82" s="188" cm="1">
        <f t="array" ref="X82">SUMPRODUCT(('Data for SPECIATE'!$C$5:$C$26='PM Protocol'!X$1)*('Data for SPECIATE'!$M$1:$AZ$1='PM Protocol'!$A82)*'Data for SPECIATE'!$M$5:$AZ$26)/VLOOKUP(X$1,'Data for SPECIATE'!$C$5:$L$26,10,FALSE)</f>
        <v>0</v>
      </c>
      <c r="Y82" s="188" cm="1">
        <f t="array" ref="Y82">SUMPRODUCT(('Data for SPECIATE'!$C$5:$C$26='PM Protocol'!Y$1)*('Data for SPECIATE'!$M$1:$AZ$1='PM Protocol'!$A82)*'Data for SPECIATE'!$M$5:$AZ$26)/VLOOKUP(Y$1,'Data for SPECIATE'!$C$5:$L$26,10,FALSE)</f>
        <v>0</v>
      </c>
      <c r="Z82" s="188" cm="1">
        <f t="array" ref="Z82">SUMPRODUCT(('Data for SPECIATE'!$C$5:$C$26='PM Protocol'!Z$1)*('Data for SPECIATE'!$M$1:$AZ$1='PM Protocol'!$A82)*'Data for SPECIATE'!$M$5:$AZ$26)/VLOOKUP(Z$1,'Data for SPECIATE'!$C$5:$L$26,10,FALSE)</f>
        <v>0</v>
      </c>
    </row>
    <row r="83" spans="1:26">
      <c r="A83">
        <v>380</v>
      </c>
      <c r="B83" t="str">
        <f>HLOOKUP(A83,'Data for SPECIATE'!$M$1:$AZ$2,2,FALSE)</f>
        <v>XRF</v>
      </c>
      <c r="C83" s="191">
        <f>IFERROR(VLOOKUP(A83,Oxides!$A$2:$G$39,7,FALSE),0)</f>
        <v>0.252</v>
      </c>
      <c r="D83" t="s">
        <v>635</v>
      </c>
      <c r="E83" s="188" cm="1">
        <f t="array" ref="E83">SUMPRODUCT(('Data for SPECIATE'!$C$5:$C$26='PM Protocol'!E$1)*('Data for SPECIATE'!$M$1:$AZ$1='PM Protocol'!$A83)*'Data for SPECIATE'!$M$5:$AZ$26)/VLOOKUP(E$1,'Data for SPECIATE'!$C$5:$L$26,10,FALSE)</f>
        <v>0</v>
      </c>
      <c r="F83" s="188" cm="1">
        <f t="array" ref="F83">SUMPRODUCT(('Data for SPECIATE'!$C$5:$C$26='PM Protocol'!F$1)*('Data for SPECIATE'!$M$1:$AZ$1='PM Protocol'!$A83)*'Data for SPECIATE'!$M$5:$AZ$26)/VLOOKUP(F$1,'Data for SPECIATE'!$C$5:$L$26,10,FALSE)</f>
        <v>0</v>
      </c>
      <c r="G83" s="188" cm="1">
        <f t="array" ref="G83">SUMPRODUCT(('Data for SPECIATE'!$C$5:$C$26='PM Protocol'!G$1)*('Data for SPECIATE'!$M$1:$AZ$1='PM Protocol'!$A83)*'Data for SPECIATE'!$M$5:$AZ$26)/VLOOKUP(G$1,'Data for SPECIATE'!$C$5:$L$26,10,FALSE)</f>
        <v>0</v>
      </c>
      <c r="H83" s="188" cm="1">
        <f t="array" ref="H83">SUMPRODUCT(('Data for SPECIATE'!$C$5:$C$26='PM Protocol'!H$1)*('Data for SPECIATE'!$M$1:$AZ$1='PM Protocol'!$A83)*'Data for SPECIATE'!$M$5:$AZ$26)/VLOOKUP(H$1,'Data for SPECIATE'!$C$5:$L$26,10,FALSE)</f>
        <v>0</v>
      </c>
      <c r="I83" s="188" cm="1">
        <f t="array" ref="I83">SUMPRODUCT(('Data for SPECIATE'!$C$5:$C$26='PM Protocol'!I$1)*('Data for SPECIATE'!$M$1:$AZ$1='PM Protocol'!$A83)*'Data for SPECIATE'!$M$5:$AZ$26)/VLOOKUP(I$1,'Data for SPECIATE'!$C$5:$L$26,10,FALSE)</f>
        <v>2.4998858404447591E-6</v>
      </c>
      <c r="J83" s="188" cm="1">
        <f t="array" ref="J83">SUMPRODUCT(('Data for SPECIATE'!$C$5:$C$26='PM Protocol'!J$1)*('Data for SPECIATE'!$M$1:$AZ$1='PM Protocol'!$A83)*'Data for SPECIATE'!$M$5:$AZ$26)/VLOOKUP(J$1,'Data for SPECIATE'!$C$5:$L$26,10,FALSE)</f>
        <v>0</v>
      </c>
      <c r="K83" s="188" cm="1">
        <f t="array" ref="K83">SUMPRODUCT(('Data for SPECIATE'!$C$5:$C$26='PM Protocol'!K$1)*('Data for SPECIATE'!$M$1:$AZ$1='PM Protocol'!$A83)*'Data for SPECIATE'!$M$5:$AZ$26)/VLOOKUP(K$1,'Data for SPECIATE'!$C$5:$L$26,10,FALSE)</f>
        <v>4.2245320099414597E-6</v>
      </c>
      <c r="L83" s="188" cm="1">
        <f t="array" ref="L83">SUMPRODUCT(('Data for SPECIATE'!$C$5:$C$26='PM Protocol'!L$1)*('Data for SPECIATE'!$M$1:$AZ$1='PM Protocol'!$A83)*'Data for SPECIATE'!$M$5:$AZ$26)/VLOOKUP(L$1,'Data for SPECIATE'!$C$5:$L$26,10,FALSE)</f>
        <v>7.6514856975243189E-6</v>
      </c>
      <c r="M83" s="188" cm="1">
        <f t="array" ref="M83">SUMPRODUCT(('Data for SPECIATE'!$C$5:$C$26='PM Protocol'!M$1)*('Data for SPECIATE'!$M$1:$AZ$1='PM Protocol'!$A83)*'Data for SPECIATE'!$M$5:$AZ$26)/VLOOKUP(M$1,'Data for SPECIATE'!$C$5:$L$26,10,FALSE)</f>
        <v>0</v>
      </c>
      <c r="N83" s="188" cm="1">
        <f t="array" ref="N83">SUMPRODUCT(('Data for SPECIATE'!$C$5:$C$26='PM Protocol'!N$1)*('Data for SPECIATE'!$M$1:$AZ$1='PM Protocol'!$A83)*'Data for SPECIATE'!$M$5:$AZ$26)/VLOOKUP(N$1,'Data for SPECIATE'!$C$5:$L$26,10,FALSE)</f>
        <v>4.3603314568319365E-6</v>
      </c>
      <c r="O83" s="188" cm="1">
        <f t="array" ref="O83">SUMPRODUCT(('Data for SPECIATE'!$C$5:$C$26='PM Protocol'!O$1)*('Data for SPECIATE'!$M$1:$AZ$1='PM Protocol'!$A83)*'Data for SPECIATE'!$M$5:$AZ$26)/VLOOKUP(O$1,'Data for SPECIATE'!$C$5:$L$26,10,FALSE)</f>
        <v>0</v>
      </c>
      <c r="P83" s="188" cm="1">
        <f t="array" ref="P83">SUMPRODUCT(('Data for SPECIATE'!$C$5:$C$26='PM Protocol'!P$1)*('Data for SPECIATE'!$M$1:$AZ$1='PM Protocol'!$A83)*'Data for SPECIATE'!$M$5:$AZ$26)/VLOOKUP(P$1,'Data for SPECIATE'!$C$5:$L$26,10,FALSE)</f>
        <v>0</v>
      </c>
      <c r="Q83" s="188" cm="1">
        <f t="array" ref="Q83">SUMPRODUCT(('Data for SPECIATE'!$C$5:$C$26='PM Protocol'!Q$1)*('Data for SPECIATE'!$M$1:$AZ$1='PM Protocol'!$A83)*'Data for SPECIATE'!$M$5:$AZ$26)/VLOOKUP(Q$1,'Data for SPECIATE'!$C$5:$L$26,10,FALSE)</f>
        <v>0</v>
      </c>
      <c r="R83" s="188" cm="1">
        <f t="array" ref="R83">SUMPRODUCT(('Data for SPECIATE'!$C$5:$C$26='PM Protocol'!R$1)*('Data for SPECIATE'!$M$1:$AZ$1='PM Protocol'!$A83)*'Data for SPECIATE'!$M$5:$AZ$26)/SUMPRODUCT(('Data for SPECIATE'!$C$5:$C$26='PM Protocol'!R$1)*'Data for SPECIATE'!$M$5:$AZ$26)</f>
        <v>2.1627107768876696E-5</v>
      </c>
      <c r="S83" s="188" cm="1">
        <f t="array" ref="S83">SUMPRODUCT(('Data for SPECIATE'!$C$5:$C$26='PM Protocol'!S$1)*('Data for SPECIATE'!$M$1:$AZ$1='PM Protocol'!$A83)*'Data for SPECIATE'!$M$5:$AZ$26)/VLOOKUP(S$1,'Data for SPECIATE'!$C$5:$L$26,10,FALSE)</f>
        <v>4.5842743417911934E-6</v>
      </c>
      <c r="T83" s="188" cm="1">
        <f t="array" ref="T83">SUMPRODUCT(('Data for SPECIATE'!$C$5:$C$26='PM Protocol'!T$1)*('Data for SPECIATE'!$M$1:$AZ$1='PM Protocol'!$A83)*'Data for SPECIATE'!$M$5:$AZ$26)/VLOOKUP(T$1,'Data for SPECIATE'!$C$5:$L$26,10,FALSE)</f>
        <v>1.4797102881030205E-5</v>
      </c>
      <c r="U83" s="188" cm="1">
        <f t="array" ref="U83">SUMPRODUCT(('Data for SPECIATE'!$C$5:$C$26='PM Protocol'!U$1)*('Data for SPECIATE'!$M$1:$AZ$1='PM Protocol'!$A83)*'Data for SPECIATE'!$M$5:$AZ$26)/VLOOKUP(U$1,'Data for SPECIATE'!$C$5:$L$26,10,FALSE)</f>
        <v>0</v>
      </c>
      <c r="V83" s="188" cm="1">
        <f t="array" ref="V83">SUMPRODUCT(('Data for SPECIATE'!$C$5:$C$26='PM Protocol'!V$1)*('Data for SPECIATE'!$M$1:$AZ$1='PM Protocol'!$A83)*'Data for SPECIATE'!$M$5:$AZ$26)/VLOOKUP(V$1,'Data for SPECIATE'!$C$5:$L$26,10,FALSE)</f>
        <v>1.4854232281116976E-5</v>
      </c>
      <c r="W83" s="188" cm="1">
        <f t="array" ref="W83">SUMPRODUCT(('Data for SPECIATE'!$C$5:$C$26='PM Protocol'!W$1)*('Data for SPECIATE'!$M$1:$AZ$1='PM Protocol'!$A83)*'Data for SPECIATE'!$M$5:$AZ$26)/VLOOKUP(W$1,'Data for SPECIATE'!$C$5:$L$26,10,FALSE)</f>
        <v>0</v>
      </c>
      <c r="X83" s="188" cm="1">
        <f t="array" ref="X83">SUMPRODUCT(('Data for SPECIATE'!$C$5:$C$26='PM Protocol'!X$1)*('Data for SPECIATE'!$M$1:$AZ$1='PM Protocol'!$A83)*'Data for SPECIATE'!$M$5:$AZ$26)/VLOOKUP(X$1,'Data for SPECIATE'!$C$5:$L$26,10,FALSE)</f>
        <v>0</v>
      </c>
      <c r="Y83" s="188" cm="1">
        <f t="array" ref="Y83">SUMPRODUCT(('Data for SPECIATE'!$C$5:$C$26='PM Protocol'!Y$1)*('Data for SPECIATE'!$M$1:$AZ$1='PM Protocol'!$A83)*'Data for SPECIATE'!$M$5:$AZ$26)/VLOOKUP(Y$1,'Data for SPECIATE'!$C$5:$L$26,10,FALSE)</f>
        <v>0</v>
      </c>
      <c r="Z83" s="188" cm="1">
        <f t="array" ref="Z83">SUMPRODUCT(('Data for SPECIATE'!$C$5:$C$26='PM Protocol'!Z$1)*('Data for SPECIATE'!$M$1:$AZ$1='PM Protocol'!$A83)*'Data for SPECIATE'!$M$5:$AZ$26)/VLOOKUP(Z$1,'Data for SPECIATE'!$C$5:$L$26,10,FALSE)</f>
        <v>0</v>
      </c>
    </row>
    <row r="84" spans="1:26">
      <c r="A84">
        <v>778</v>
      </c>
      <c r="B84" t="str">
        <f>HLOOKUP(A84,'Data for SPECIATE'!$M$1:$AZ$2,2,FALSE)</f>
        <v>XRF</v>
      </c>
      <c r="C84" s="191">
        <f>IFERROR(VLOOKUP(A84,Oxides!$A$2:$G$39,7,FALSE),0)</f>
        <v>0.245</v>
      </c>
      <c r="D84" t="s">
        <v>636</v>
      </c>
      <c r="E84" s="188" cm="1">
        <f t="array" ref="E84">SUMPRODUCT(('Data for SPECIATE'!$C$5:$C$26='PM Protocol'!E$1)*('Data for SPECIATE'!$M$1:$AZ$1='PM Protocol'!$A84)*'Data for SPECIATE'!$M$5:$AZ$26)/VLOOKUP(E$1,'Data for SPECIATE'!$C$5:$L$26,10,FALSE)</f>
        <v>2.4000915385251692E-4</v>
      </c>
      <c r="F84" s="188" cm="1">
        <f t="array" ref="F84">SUMPRODUCT(('Data for SPECIATE'!$C$5:$C$26='PM Protocol'!F$1)*('Data for SPECIATE'!$M$1:$AZ$1='PM Protocol'!$A84)*'Data for SPECIATE'!$M$5:$AZ$26)/VLOOKUP(F$1,'Data for SPECIATE'!$C$5:$L$26,10,FALSE)</f>
        <v>7.2790679043083022E-4</v>
      </c>
      <c r="G84" s="188" cm="1">
        <f t="array" ref="G84">SUMPRODUCT(('Data for SPECIATE'!$C$5:$C$26='PM Protocol'!G$1)*('Data for SPECIATE'!$M$1:$AZ$1='PM Protocol'!$A84)*'Data for SPECIATE'!$M$5:$AZ$26)/VLOOKUP(G$1,'Data for SPECIATE'!$C$5:$L$26,10,FALSE)</f>
        <v>1.3218853852001056E-4</v>
      </c>
      <c r="H84" s="188" cm="1">
        <f t="array" ref="H84">SUMPRODUCT(('Data for SPECIATE'!$C$5:$C$26='PM Protocol'!H$1)*('Data for SPECIATE'!$M$1:$AZ$1='PM Protocol'!$A84)*'Data for SPECIATE'!$M$5:$AZ$26)/VLOOKUP(H$1,'Data for SPECIATE'!$C$5:$L$26,10,FALSE)</f>
        <v>6.9457915470324334E-4</v>
      </c>
      <c r="I84" s="188" cm="1">
        <f t="array" ref="I84">SUMPRODUCT(('Data for SPECIATE'!$C$5:$C$26='PM Protocol'!I$1)*('Data for SPECIATE'!$M$1:$AZ$1='PM Protocol'!$A84)*'Data for SPECIATE'!$M$5:$AZ$26)/VLOOKUP(I$1,'Data for SPECIATE'!$C$5:$L$26,10,FALSE)</f>
        <v>2.0965861462236553E-4</v>
      </c>
      <c r="J84" s="188" cm="1">
        <f t="array" ref="J84">SUMPRODUCT(('Data for SPECIATE'!$C$5:$C$26='PM Protocol'!J$1)*('Data for SPECIATE'!$M$1:$AZ$1='PM Protocol'!$A84)*'Data for SPECIATE'!$M$5:$AZ$26)/VLOOKUP(J$1,'Data for SPECIATE'!$C$5:$L$26,10,FALSE)</f>
        <v>1.2593294102990991E-4</v>
      </c>
      <c r="K84" s="188" cm="1">
        <f t="array" ref="K84">SUMPRODUCT(('Data for SPECIATE'!$C$5:$C$26='PM Protocol'!K$1)*('Data for SPECIATE'!$M$1:$AZ$1='PM Protocol'!$A84)*'Data for SPECIATE'!$M$5:$AZ$26)/VLOOKUP(K$1,'Data for SPECIATE'!$C$5:$L$26,10,FALSE)</f>
        <v>2.3843257332549085E-4</v>
      </c>
      <c r="L84" s="188" cm="1">
        <f t="array" ref="L84">SUMPRODUCT(('Data for SPECIATE'!$C$5:$C$26='PM Protocol'!L$1)*('Data for SPECIATE'!$M$1:$AZ$1='PM Protocol'!$A84)*'Data for SPECIATE'!$M$5:$AZ$26)/VLOOKUP(L$1,'Data for SPECIATE'!$C$5:$L$26,10,FALSE)</f>
        <v>4.0684583203594375E-4</v>
      </c>
      <c r="M84" s="188" cm="1">
        <f t="array" ref="M84">SUMPRODUCT(('Data for SPECIATE'!$C$5:$C$26='PM Protocol'!M$1)*('Data for SPECIATE'!$M$1:$AZ$1='PM Protocol'!$A84)*'Data for SPECIATE'!$M$5:$AZ$26)/VLOOKUP(M$1,'Data for SPECIATE'!$C$5:$L$26,10,FALSE)</f>
        <v>4.1374174786194888E-4</v>
      </c>
      <c r="N84" s="188" cm="1">
        <f t="array" ref="N84">SUMPRODUCT(('Data for SPECIATE'!$C$5:$C$26='PM Protocol'!N$1)*('Data for SPECIATE'!$M$1:$AZ$1='PM Protocol'!$A84)*'Data for SPECIATE'!$M$5:$AZ$26)/VLOOKUP(N$1,'Data for SPECIATE'!$C$5:$L$26,10,FALSE)</f>
        <v>1.0217243612463429E-4</v>
      </c>
      <c r="O84" s="188" cm="1">
        <f t="array" ref="O84">SUMPRODUCT(('Data for SPECIATE'!$C$5:$C$26='PM Protocol'!O$1)*('Data for SPECIATE'!$M$1:$AZ$1='PM Protocol'!$A84)*'Data for SPECIATE'!$M$5:$AZ$26)/VLOOKUP(O$1,'Data for SPECIATE'!$C$5:$L$26,10,FALSE)</f>
        <v>2.4495645706753693E-4</v>
      </c>
      <c r="P84" s="188" cm="1">
        <f t="array" ref="P84">SUMPRODUCT(('Data for SPECIATE'!$C$5:$C$26='PM Protocol'!P$1)*('Data for SPECIATE'!$M$1:$AZ$1='PM Protocol'!$A84)*'Data for SPECIATE'!$M$5:$AZ$26)/VLOOKUP(P$1,'Data for SPECIATE'!$C$5:$L$26,10,FALSE)</f>
        <v>1.3579860397948507E-4</v>
      </c>
      <c r="Q84" s="188" cm="1">
        <f t="array" ref="Q84">SUMPRODUCT(('Data for SPECIATE'!$C$5:$C$26='PM Protocol'!Q$1)*('Data for SPECIATE'!$M$1:$AZ$1='PM Protocol'!$A84)*'Data for SPECIATE'!$M$5:$AZ$26)/VLOOKUP(Q$1,'Data for SPECIATE'!$C$5:$L$26,10,FALSE)</f>
        <v>1.0203327268983808E-3</v>
      </c>
      <c r="R84" s="188" cm="1">
        <f t="array" ref="R84">SUMPRODUCT(('Data for SPECIATE'!$C$5:$C$26='PM Protocol'!R$1)*('Data for SPECIATE'!$M$1:$AZ$1='PM Protocol'!$A84)*'Data for SPECIATE'!$M$5:$AZ$26)/SUMPRODUCT(('Data for SPECIATE'!$C$5:$C$26='PM Protocol'!R$1)*'Data for SPECIATE'!$M$5:$AZ$26)</f>
        <v>5.0675981216740662E-3</v>
      </c>
      <c r="S84" s="188" cm="1">
        <f t="array" ref="S84">SUMPRODUCT(('Data for SPECIATE'!$C$5:$C$26='PM Protocol'!S$1)*('Data for SPECIATE'!$M$1:$AZ$1='PM Protocol'!$A84)*'Data for SPECIATE'!$M$5:$AZ$26)/VLOOKUP(S$1,'Data for SPECIATE'!$C$5:$L$26,10,FALSE)</f>
        <v>3.522993111656335E-4</v>
      </c>
      <c r="T84" s="188" cm="1">
        <f t="array" ref="T84">SUMPRODUCT(('Data for SPECIATE'!$C$5:$C$26='PM Protocol'!T$1)*('Data for SPECIATE'!$M$1:$AZ$1='PM Protocol'!$A84)*'Data for SPECIATE'!$M$5:$AZ$26)/VLOOKUP(T$1,'Data for SPECIATE'!$C$5:$L$26,10,FALSE)</f>
        <v>1.2003367389113221E-3</v>
      </c>
      <c r="U84" s="188" cm="1">
        <f t="array" ref="U84">SUMPRODUCT(('Data for SPECIATE'!$C$5:$C$26='PM Protocol'!U$1)*('Data for SPECIATE'!$M$1:$AZ$1='PM Protocol'!$A84)*'Data for SPECIATE'!$M$5:$AZ$26)/VLOOKUP(U$1,'Data for SPECIATE'!$C$5:$L$26,10,FALSE)</f>
        <v>3.2773928689707518E-4</v>
      </c>
      <c r="V84" s="188" cm="1">
        <f t="array" ref="V84">SUMPRODUCT(('Data for SPECIATE'!$C$5:$C$26='PM Protocol'!V$1)*('Data for SPECIATE'!$M$1:$AZ$1='PM Protocol'!$A84)*'Data for SPECIATE'!$M$5:$AZ$26)/VLOOKUP(V$1,'Data for SPECIATE'!$C$5:$L$26,10,FALSE)</f>
        <v>1.5662857301355242E-3</v>
      </c>
      <c r="W84" s="188" cm="1">
        <f t="array" ref="W84">SUMPRODUCT(('Data for SPECIATE'!$C$5:$C$26='PM Protocol'!W$1)*('Data for SPECIATE'!$M$1:$AZ$1='PM Protocol'!$A84)*'Data for SPECIATE'!$M$5:$AZ$26)/VLOOKUP(W$1,'Data for SPECIATE'!$C$5:$L$26,10,FALSE)</f>
        <v>7.0914319726022863E-4</v>
      </c>
      <c r="X84" s="188" cm="1">
        <f t="array" ref="X84">SUMPRODUCT(('Data for SPECIATE'!$C$5:$C$26='PM Protocol'!X$1)*('Data for SPECIATE'!$M$1:$AZ$1='PM Protocol'!$A84)*'Data for SPECIATE'!$M$5:$AZ$26)/VLOOKUP(X$1,'Data for SPECIATE'!$C$5:$L$26,10,FALSE)</f>
        <v>9.764144260552745E-4</v>
      </c>
      <c r="Y84" s="188" cm="1">
        <f t="array" ref="Y84">SUMPRODUCT(('Data for SPECIATE'!$C$5:$C$26='PM Protocol'!Y$1)*('Data for SPECIATE'!$M$1:$AZ$1='PM Protocol'!$A84)*'Data for SPECIATE'!$M$5:$AZ$26)/VLOOKUP(Y$1,'Data for SPECIATE'!$C$5:$L$26,10,FALSE)</f>
        <v>6.1594476396035038E-4</v>
      </c>
      <c r="Z84" s="188" cm="1">
        <f t="array" ref="Z84">SUMPRODUCT(('Data for SPECIATE'!$C$5:$C$26='PM Protocol'!Z$1)*('Data for SPECIATE'!$M$1:$AZ$1='PM Protocol'!$A84)*'Data for SPECIATE'!$M$5:$AZ$26)/VLOOKUP(Z$1,'Data for SPECIATE'!$C$5:$L$26,10,FALSE)</f>
        <v>9.8815914958942045E-4</v>
      </c>
    </row>
    <row r="85" spans="1:26">
      <c r="A85">
        <v>468</v>
      </c>
      <c r="B85" t="str">
        <f>HLOOKUP(A85,'Data for SPECIATE'!$M$1:$AZ$2,2,FALSE)</f>
        <v>XRF</v>
      </c>
      <c r="C85" s="191">
        <f>IFERROR(VLOOKUP(A85,Oxides!$A$2:$G$39,7,FALSE),0)</f>
        <v>0.34399999999999997</v>
      </c>
      <c r="D85" t="s">
        <v>637</v>
      </c>
      <c r="E85" s="188" cm="1">
        <f t="array" ref="E85">SUMPRODUCT(('Data for SPECIATE'!$C$5:$C$26='PM Protocol'!E$1)*('Data for SPECIATE'!$M$1:$AZ$1='PM Protocol'!$A85)*'Data for SPECIATE'!$M$5:$AZ$26)/VLOOKUP(E$1,'Data for SPECIATE'!$C$5:$L$26,10,FALSE)</f>
        <v>0</v>
      </c>
      <c r="F85" s="188" cm="1">
        <f t="array" ref="F85">SUMPRODUCT(('Data for SPECIATE'!$C$5:$C$26='PM Protocol'!F$1)*('Data for SPECIATE'!$M$1:$AZ$1='PM Protocol'!$A85)*'Data for SPECIATE'!$M$5:$AZ$26)/VLOOKUP(F$1,'Data for SPECIATE'!$C$5:$L$26,10,FALSE)</f>
        <v>0</v>
      </c>
      <c r="G85" s="188" cm="1">
        <f t="array" ref="G85">SUMPRODUCT(('Data for SPECIATE'!$C$5:$C$26='PM Protocol'!G$1)*('Data for SPECIATE'!$M$1:$AZ$1='PM Protocol'!$A85)*'Data for SPECIATE'!$M$5:$AZ$26)/VLOOKUP(G$1,'Data for SPECIATE'!$C$5:$L$26,10,FALSE)</f>
        <v>2.5450640644579772E-6</v>
      </c>
      <c r="H85" s="188" cm="1">
        <f t="array" ref="H85">SUMPRODUCT(('Data for SPECIATE'!$C$5:$C$26='PM Protocol'!H$1)*('Data for SPECIATE'!$M$1:$AZ$1='PM Protocol'!$A85)*'Data for SPECIATE'!$M$5:$AZ$26)/VLOOKUP(H$1,'Data for SPECIATE'!$C$5:$L$26,10,FALSE)</f>
        <v>0</v>
      </c>
      <c r="I85" s="188" cm="1">
        <f t="array" ref="I85">SUMPRODUCT(('Data for SPECIATE'!$C$5:$C$26='PM Protocol'!I$1)*('Data for SPECIATE'!$M$1:$AZ$1='PM Protocol'!$A85)*'Data for SPECIATE'!$M$5:$AZ$26)/VLOOKUP(I$1,'Data for SPECIATE'!$C$5:$L$26,10,FALSE)</f>
        <v>0</v>
      </c>
      <c r="J85" s="188" cm="1">
        <f t="array" ref="J85">SUMPRODUCT(('Data for SPECIATE'!$C$5:$C$26='PM Protocol'!J$1)*('Data for SPECIATE'!$M$1:$AZ$1='PM Protocol'!$A85)*'Data for SPECIATE'!$M$5:$AZ$26)/VLOOKUP(J$1,'Data for SPECIATE'!$C$5:$L$26,10,FALSE)</f>
        <v>0</v>
      </c>
      <c r="K85" s="188" cm="1">
        <f t="array" ref="K85">SUMPRODUCT(('Data for SPECIATE'!$C$5:$C$26='PM Protocol'!K$1)*('Data for SPECIATE'!$M$1:$AZ$1='PM Protocol'!$A85)*'Data for SPECIATE'!$M$5:$AZ$26)/VLOOKUP(K$1,'Data for SPECIATE'!$C$5:$L$26,10,FALSE)</f>
        <v>1.2949135995957691E-6</v>
      </c>
      <c r="L85" s="188" cm="1">
        <f t="array" ref="L85">SUMPRODUCT(('Data for SPECIATE'!$C$5:$C$26='PM Protocol'!L$1)*('Data for SPECIATE'!$M$1:$AZ$1='PM Protocol'!$A85)*'Data for SPECIATE'!$M$5:$AZ$26)/VLOOKUP(L$1,'Data for SPECIATE'!$C$5:$L$26,10,FALSE)</f>
        <v>0</v>
      </c>
      <c r="M85" s="188" cm="1">
        <f t="array" ref="M85">SUMPRODUCT(('Data for SPECIATE'!$C$5:$C$26='PM Protocol'!M$1)*('Data for SPECIATE'!$M$1:$AZ$1='PM Protocol'!$A85)*'Data for SPECIATE'!$M$5:$AZ$26)/VLOOKUP(M$1,'Data for SPECIATE'!$C$5:$L$26,10,FALSE)</f>
        <v>0</v>
      </c>
      <c r="N85" s="188" cm="1">
        <f t="array" ref="N85">SUMPRODUCT(('Data for SPECIATE'!$C$5:$C$26='PM Protocol'!N$1)*('Data for SPECIATE'!$M$1:$AZ$1='PM Protocol'!$A85)*'Data for SPECIATE'!$M$5:$AZ$26)/VLOOKUP(N$1,'Data for SPECIATE'!$C$5:$L$26,10,FALSE)</f>
        <v>0</v>
      </c>
      <c r="O85" s="188" cm="1">
        <f t="array" ref="O85">SUMPRODUCT(('Data for SPECIATE'!$C$5:$C$26='PM Protocol'!O$1)*('Data for SPECIATE'!$M$1:$AZ$1='PM Protocol'!$A85)*'Data for SPECIATE'!$M$5:$AZ$26)/VLOOKUP(O$1,'Data for SPECIATE'!$C$5:$L$26,10,FALSE)</f>
        <v>0</v>
      </c>
      <c r="P85" s="188" cm="1">
        <f t="array" ref="P85">SUMPRODUCT(('Data for SPECIATE'!$C$5:$C$26='PM Protocol'!P$1)*('Data for SPECIATE'!$M$1:$AZ$1='PM Protocol'!$A85)*'Data for SPECIATE'!$M$5:$AZ$26)/VLOOKUP(P$1,'Data for SPECIATE'!$C$5:$L$26,10,FALSE)</f>
        <v>0</v>
      </c>
      <c r="Q85" s="188" cm="1">
        <f t="array" ref="Q85">SUMPRODUCT(('Data for SPECIATE'!$C$5:$C$26='PM Protocol'!Q$1)*('Data for SPECIATE'!$M$1:$AZ$1='PM Protocol'!$A85)*'Data for SPECIATE'!$M$5:$AZ$26)/VLOOKUP(Q$1,'Data for SPECIATE'!$C$5:$L$26,10,FALSE)</f>
        <v>0</v>
      </c>
      <c r="R85" s="188" cm="1">
        <f t="array" ref="R85">SUMPRODUCT(('Data for SPECIATE'!$C$5:$C$26='PM Protocol'!R$1)*('Data for SPECIATE'!$M$1:$AZ$1='PM Protocol'!$A85)*'Data for SPECIATE'!$M$5:$AZ$26)/SUMPRODUCT(('Data for SPECIATE'!$C$5:$C$26='PM Protocol'!R$1)*'Data for SPECIATE'!$M$5:$AZ$26)</f>
        <v>0</v>
      </c>
      <c r="S85" s="188" cm="1">
        <f t="array" ref="S85">SUMPRODUCT(('Data for SPECIATE'!$C$5:$C$26='PM Protocol'!S$1)*('Data for SPECIATE'!$M$1:$AZ$1='PM Protocol'!$A85)*'Data for SPECIATE'!$M$5:$AZ$26)/VLOOKUP(S$1,'Data for SPECIATE'!$C$5:$L$26,10,FALSE)</f>
        <v>0</v>
      </c>
      <c r="T85" s="188" cm="1">
        <f t="array" ref="T85">SUMPRODUCT(('Data for SPECIATE'!$C$5:$C$26='PM Protocol'!T$1)*('Data for SPECIATE'!$M$1:$AZ$1='PM Protocol'!$A85)*'Data for SPECIATE'!$M$5:$AZ$26)/VLOOKUP(T$1,'Data for SPECIATE'!$C$5:$L$26,10,FALSE)</f>
        <v>0</v>
      </c>
      <c r="U85" s="188" cm="1">
        <f t="array" ref="U85">SUMPRODUCT(('Data for SPECIATE'!$C$5:$C$26='PM Protocol'!U$1)*('Data for SPECIATE'!$M$1:$AZ$1='PM Protocol'!$A85)*'Data for SPECIATE'!$M$5:$AZ$26)/VLOOKUP(U$1,'Data for SPECIATE'!$C$5:$L$26,10,FALSE)</f>
        <v>0</v>
      </c>
      <c r="V85" s="188" cm="1">
        <f t="array" ref="V85">SUMPRODUCT(('Data for SPECIATE'!$C$5:$C$26='PM Protocol'!V$1)*('Data for SPECIATE'!$M$1:$AZ$1='PM Protocol'!$A85)*'Data for SPECIATE'!$M$5:$AZ$26)/VLOOKUP(V$1,'Data for SPECIATE'!$C$5:$L$26,10,FALSE)</f>
        <v>0</v>
      </c>
      <c r="W85" s="188" cm="1">
        <f t="array" ref="W85">SUMPRODUCT(('Data for SPECIATE'!$C$5:$C$26='PM Protocol'!W$1)*('Data for SPECIATE'!$M$1:$AZ$1='PM Protocol'!$A85)*'Data for SPECIATE'!$M$5:$AZ$26)/VLOOKUP(W$1,'Data for SPECIATE'!$C$5:$L$26,10,FALSE)</f>
        <v>4.0387564764387955E-6</v>
      </c>
      <c r="X85" s="188" cm="1">
        <f t="array" ref="X85">SUMPRODUCT(('Data for SPECIATE'!$C$5:$C$26='PM Protocol'!X$1)*('Data for SPECIATE'!$M$1:$AZ$1='PM Protocol'!$A85)*'Data for SPECIATE'!$M$5:$AZ$26)/VLOOKUP(X$1,'Data for SPECIATE'!$C$5:$L$26,10,FALSE)</f>
        <v>0</v>
      </c>
      <c r="Y85" s="188" cm="1">
        <f t="array" ref="Y85">SUMPRODUCT(('Data for SPECIATE'!$C$5:$C$26='PM Protocol'!Y$1)*('Data for SPECIATE'!$M$1:$AZ$1='PM Protocol'!$A85)*'Data for SPECIATE'!$M$5:$AZ$26)/VLOOKUP(Y$1,'Data for SPECIATE'!$C$5:$L$26,10,FALSE)</f>
        <v>0</v>
      </c>
      <c r="Z85" s="188" cm="1">
        <f t="array" ref="Z85">SUMPRODUCT(('Data for SPECIATE'!$C$5:$C$26='PM Protocol'!Z$1)*('Data for SPECIATE'!$M$1:$AZ$1='PM Protocol'!$A85)*'Data for SPECIATE'!$M$5:$AZ$26)/VLOOKUP(Z$1,'Data for SPECIATE'!$C$5:$L$26,10,FALSE)</f>
        <v>0</v>
      </c>
    </row>
    <row r="86" spans="1:26">
      <c r="A86">
        <v>298</v>
      </c>
      <c r="B86" t="str">
        <f>HLOOKUP(A86,'Data for SPECIATE'!$M$1:$AZ$2,2,FALSE)</f>
        <v>XRF</v>
      </c>
      <c r="C86" s="191">
        <f>IFERROR(VLOOKUP(A86,Oxides!$A$2:$G$39,7,FALSE),0)</f>
        <v>0.42699999999999999</v>
      </c>
      <c r="D86" t="s">
        <v>639</v>
      </c>
      <c r="E86" s="188" cm="1">
        <f t="array" ref="E86">SUMPRODUCT(('Data for SPECIATE'!$C$5:$C$26='PM Protocol'!E$1)*('Data for SPECIATE'!$M$1:$AZ$1='PM Protocol'!$A86)*'Data for SPECIATE'!$M$5:$AZ$26)/VLOOKUP(E$1,'Data for SPECIATE'!$C$5:$L$26,10,FALSE)</f>
        <v>0</v>
      </c>
      <c r="F86" s="188" cm="1">
        <f t="array" ref="F86">SUMPRODUCT(('Data for SPECIATE'!$C$5:$C$26='PM Protocol'!F$1)*('Data for SPECIATE'!$M$1:$AZ$1='PM Protocol'!$A86)*'Data for SPECIATE'!$M$5:$AZ$26)/VLOOKUP(F$1,'Data for SPECIATE'!$C$5:$L$26,10,FALSE)</f>
        <v>0</v>
      </c>
      <c r="G86" s="188" cm="1">
        <f t="array" ref="G86">SUMPRODUCT(('Data for SPECIATE'!$C$5:$C$26='PM Protocol'!G$1)*('Data for SPECIATE'!$M$1:$AZ$1='PM Protocol'!$A86)*'Data for SPECIATE'!$M$5:$AZ$26)/VLOOKUP(G$1,'Data for SPECIATE'!$C$5:$L$26,10,FALSE)</f>
        <v>3.1031125667401531E-6</v>
      </c>
      <c r="H86" s="188" cm="1">
        <f t="array" ref="H86">SUMPRODUCT(('Data for SPECIATE'!$C$5:$C$26='PM Protocol'!H$1)*('Data for SPECIATE'!$M$1:$AZ$1='PM Protocol'!$A86)*'Data for SPECIATE'!$M$5:$AZ$26)/VLOOKUP(H$1,'Data for SPECIATE'!$C$5:$L$26,10,FALSE)</f>
        <v>0</v>
      </c>
      <c r="I86" s="188" cm="1">
        <f t="array" ref="I86">SUMPRODUCT(('Data for SPECIATE'!$C$5:$C$26='PM Protocol'!I$1)*('Data for SPECIATE'!$M$1:$AZ$1='PM Protocol'!$A86)*'Data for SPECIATE'!$M$5:$AZ$26)/VLOOKUP(I$1,'Data for SPECIATE'!$C$5:$L$26,10,FALSE)</f>
        <v>0</v>
      </c>
      <c r="J86" s="188" cm="1">
        <f t="array" ref="J86">SUMPRODUCT(('Data for SPECIATE'!$C$5:$C$26='PM Protocol'!J$1)*('Data for SPECIATE'!$M$1:$AZ$1='PM Protocol'!$A86)*'Data for SPECIATE'!$M$5:$AZ$26)/VLOOKUP(J$1,'Data for SPECIATE'!$C$5:$L$26,10,FALSE)</f>
        <v>0</v>
      </c>
      <c r="K86" s="188" cm="1">
        <f t="array" ref="K86">SUMPRODUCT(('Data for SPECIATE'!$C$5:$C$26='PM Protocol'!K$1)*('Data for SPECIATE'!$M$1:$AZ$1='PM Protocol'!$A86)*'Data for SPECIATE'!$M$5:$AZ$26)/VLOOKUP(K$1,'Data for SPECIATE'!$C$5:$L$26,10,FALSE)</f>
        <v>0</v>
      </c>
      <c r="L86" s="188" cm="1">
        <f t="array" ref="L86">SUMPRODUCT(('Data for SPECIATE'!$C$5:$C$26='PM Protocol'!L$1)*('Data for SPECIATE'!$M$1:$AZ$1='PM Protocol'!$A86)*'Data for SPECIATE'!$M$5:$AZ$26)/VLOOKUP(L$1,'Data for SPECIATE'!$C$5:$L$26,10,FALSE)</f>
        <v>0</v>
      </c>
      <c r="M86" s="188" cm="1">
        <f t="array" ref="M86">SUMPRODUCT(('Data for SPECIATE'!$C$5:$C$26='PM Protocol'!M$1)*('Data for SPECIATE'!$M$1:$AZ$1='PM Protocol'!$A86)*'Data for SPECIATE'!$M$5:$AZ$26)/VLOOKUP(M$1,'Data for SPECIATE'!$C$5:$L$26,10,FALSE)</f>
        <v>4.5334553862245828E-6</v>
      </c>
      <c r="N86" s="188" cm="1">
        <f t="array" ref="N86">SUMPRODUCT(('Data for SPECIATE'!$C$5:$C$26='PM Protocol'!N$1)*('Data for SPECIATE'!$M$1:$AZ$1='PM Protocol'!$A86)*'Data for SPECIATE'!$M$5:$AZ$26)/VLOOKUP(N$1,'Data for SPECIATE'!$C$5:$L$26,10,FALSE)</f>
        <v>0</v>
      </c>
      <c r="O86" s="188" cm="1">
        <f t="array" ref="O86">SUMPRODUCT(('Data for SPECIATE'!$C$5:$C$26='PM Protocol'!O$1)*('Data for SPECIATE'!$M$1:$AZ$1='PM Protocol'!$A86)*'Data for SPECIATE'!$M$5:$AZ$26)/VLOOKUP(O$1,'Data for SPECIATE'!$C$5:$L$26,10,FALSE)</f>
        <v>0</v>
      </c>
      <c r="P86" s="188" cm="1">
        <f t="array" ref="P86">SUMPRODUCT(('Data for SPECIATE'!$C$5:$C$26='PM Protocol'!P$1)*('Data for SPECIATE'!$M$1:$AZ$1='PM Protocol'!$A86)*'Data for SPECIATE'!$M$5:$AZ$26)/VLOOKUP(P$1,'Data for SPECIATE'!$C$5:$L$26,10,FALSE)</f>
        <v>0</v>
      </c>
      <c r="Q86" s="188" cm="1">
        <f t="array" ref="Q86">SUMPRODUCT(('Data for SPECIATE'!$C$5:$C$26='PM Protocol'!Q$1)*('Data for SPECIATE'!$M$1:$AZ$1='PM Protocol'!$A86)*'Data for SPECIATE'!$M$5:$AZ$26)/VLOOKUP(Q$1,'Data for SPECIATE'!$C$5:$L$26,10,FALSE)</f>
        <v>0</v>
      </c>
      <c r="R86" s="188" cm="1">
        <f t="array" ref="R86">SUMPRODUCT(('Data for SPECIATE'!$C$5:$C$26='PM Protocol'!R$1)*('Data for SPECIATE'!$M$1:$AZ$1='PM Protocol'!$A86)*'Data for SPECIATE'!$M$5:$AZ$26)/SUMPRODUCT(('Data for SPECIATE'!$C$5:$C$26='PM Protocol'!R$1)*'Data for SPECIATE'!$M$5:$AZ$26)</f>
        <v>0</v>
      </c>
      <c r="S86" s="188" cm="1">
        <f t="array" ref="S86">SUMPRODUCT(('Data for SPECIATE'!$C$5:$C$26='PM Protocol'!S$1)*('Data for SPECIATE'!$M$1:$AZ$1='PM Protocol'!$A86)*'Data for SPECIATE'!$M$5:$AZ$26)/VLOOKUP(S$1,'Data for SPECIATE'!$C$5:$L$26,10,FALSE)</f>
        <v>1.0324452868768699E-6</v>
      </c>
      <c r="T86" s="188" cm="1">
        <f t="array" ref="T86">SUMPRODUCT(('Data for SPECIATE'!$C$5:$C$26='PM Protocol'!T$1)*('Data for SPECIATE'!$M$1:$AZ$1='PM Protocol'!$A86)*'Data for SPECIATE'!$M$5:$AZ$26)/VLOOKUP(T$1,'Data for SPECIATE'!$C$5:$L$26,10,FALSE)</f>
        <v>0</v>
      </c>
      <c r="U86" s="188" cm="1">
        <f t="array" ref="U86">SUMPRODUCT(('Data for SPECIATE'!$C$5:$C$26='PM Protocol'!U$1)*('Data for SPECIATE'!$M$1:$AZ$1='PM Protocol'!$A86)*'Data for SPECIATE'!$M$5:$AZ$26)/VLOOKUP(U$1,'Data for SPECIATE'!$C$5:$L$26,10,FALSE)</f>
        <v>3.9281299322537646E-6</v>
      </c>
      <c r="V86" s="188" cm="1">
        <f t="array" ref="V86">SUMPRODUCT(('Data for SPECIATE'!$C$5:$C$26='PM Protocol'!V$1)*('Data for SPECIATE'!$M$1:$AZ$1='PM Protocol'!$A86)*'Data for SPECIATE'!$M$5:$AZ$26)/VLOOKUP(V$1,'Data for SPECIATE'!$C$5:$L$26,10,FALSE)</f>
        <v>0</v>
      </c>
      <c r="W86" s="188" cm="1">
        <f t="array" ref="W86">SUMPRODUCT(('Data for SPECIATE'!$C$5:$C$26='PM Protocol'!W$1)*('Data for SPECIATE'!$M$1:$AZ$1='PM Protocol'!$A86)*'Data for SPECIATE'!$M$5:$AZ$26)/VLOOKUP(W$1,'Data for SPECIATE'!$C$5:$L$26,10,FALSE)</f>
        <v>0</v>
      </c>
      <c r="X86" s="188" cm="1">
        <f t="array" ref="X86">SUMPRODUCT(('Data for SPECIATE'!$C$5:$C$26='PM Protocol'!X$1)*('Data for SPECIATE'!$M$1:$AZ$1='PM Protocol'!$A86)*'Data for SPECIATE'!$M$5:$AZ$26)/VLOOKUP(X$1,'Data for SPECIATE'!$C$5:$L$26,10,FALSE)</f>
        <v>0</v>
      </c>
      <c r="Y86" s="188" cm="1">
        <f t="array" ref="Y86">SUMPRODUCT(('Data for SPECIATE'!$C$5:$C$26='PM Protocol'!Y$1)*('Data for SPECIATE'!$M$1:$AZ$1='PM Protocol'!$A86)*'Data for SPECIATE'!$M$5:$AZ$26)/VLOOKUP(Y$1,'Data for SPECIATE'!$C$5:$L$26,10,FALSE)</f>
        <v>0</v>
      </c>
      <c r="Z86" s="188" cm="1">
        <f t="array" ref="Z86">SUMPRODUCT(('Data for SPECIATE'!$C$5:$C$26='PM Protocol'!Z$1)*('Data for SPECIATE'!$M$1:$AZ$1='PM Protocol'!$A86)*'Data for SPECIATE'!$M$5:$AZ$26)/VLOOKUP(Z$1,'Data for SPECIATE'!$C$5:$L$26,10,FALSE)</f>
        <v>0</v>
      </c>
    </row>
    <row r="87" spans="1:26">
      <c r="A87">
        <v>693</v>
      </c>
      <c r="B87" t="str">
        <f>HLOOKUP(A87,'Data for SPECIATE'!$M$1:$AZ$2,2,FALSE)</f>
        <v>XRF</v>
      </c>
      <c r="C87" s="191">
        <f>IFERROR(VLOOKUP(A87,Oxides!$A$2:$G$39,7,FALSE),0)</f>
        <v>0.40500000000000003</v>
      </c>
      <c r="D87" t="s">
        <v>640</v>
      </c>
      <c r="E87" s="188" cm="1">
        <f t="array" ref="E87">SUMPRODUCT(('Data for SPECIATE'!$C$5:$C$26='PM Protocol'!E$1)*('Data for SPECIATE'!$M$1:$AZ$1='PM Protocol'!$A87)*'Data for SPECIATE'!$M$5:$AZ$26)/VLOOKUP(E$1,'Data for SPECIATE'!$C$5:$L$26,10,FALSE)</f>
        <v>0</v>
      </c>
      <c r="F87" s="188" cm="1">
        <f t="array" ref="F87">SUMPRODUCT(('Data for SPECIATE'!$C$5:$C$26='PM Protocol'!F$1)*('Data for SPECIATE'!$M$1:$AZ$1='PM Protocol'!$A87)*'Data for SPECIATE'!$M$5:$AZ$26)/VLOOKUP(F$1,'Data for SPECIATE'!$C$5:$L$26,10,FALSE)</f>
        <v>0</v>
      </c>
      <c r="G87" s="188" cm="1">
        <f t="array" ref="G87">SUMPRODUCT(('Data for SPECIATE'!$C$5:$C$26='PM Protocol'!G$1)*('Data for SPECIATE'!$M$1:$AZ$1='PM Protocol'!$A87)*'Data for SPECIATE'!$M$5:$AZ$26)/VLOOKUP(G$1,'Data for SPECIATE'!$C$5:$L$26,10,FALSE)</f>
        <v>0</v>
      </c>
      <c r="H87" s="188" cm="1">
        <f t="array" ref="H87">SUMPRODUCT(('Data for SPECIATE'!$C$5:$C$26='PM Protocol'!H$1)*('Data for SPECIATE'!$M$1:$AZ$1='PM Protocol'!$A87)*'Data for SPECIATE'!$M$5:$AZ$26)/VLOOKUP(H$1,'Data for SPECIATE'!$C$5:$L$26,10,FALSE)</f>
        <v>1.4663396912281021E-6</v>
      </c>
      <c r="I87" s="188" cm="1">
        <f t="array" ref="I87">SUMPRODUCT(('Data for SPECIATE'!$C$5:$C$26='PM Protocol'!I$1)*('Data for SPECIATE'!$M$1:$AZ$1='PM Protocol'!$A87)*'Data for SPECIATE'!$M$5:$AZ$26)/VLOOKUP(I$1,'Data for SPECIATE'!$C$5:$L$26,10,FALSE)</f>
        <v>0</v>
      </c>
      <c r="J87" s="188" cm="1">
        <f t="array" ref="J87">SUMPRODUCT(('Data for SPECIATE'!$C$5:$C$26='PM Protocol'!J$1)*('Data for SPECIATE'!$M$1:$AZ$1='PM Protocol'!$A87)*'Data for SPECIATE'!$M$5:$AZ$26)/VLOOKUP(J$1,'Data for SPECIATE'!$C$5:$L$26,10,FALSE)</f>
        <v>2.4007618534524075E-6</v>
      </c>
      <c r="K87" s="188" cm="1">
        <f t="array" ref="K87">SUMPRODUCT(('Data for SPECIATE'!$C$5:$C$26='PM Protocol'!K$1)*('Data for SPECIATE'!$M$1:$AZ$1='PM Protocol'!$A87)*'Data for SPECIATE'!$M$5:$AZ$26)/VLOOKUP(K$1,'Data for SPECIATE'!$C$5:$L$26,10,FALSE)</f>
        <v>7.4164006396750075E-6</v>
      </c>
      <c r="L87" s="188" cm="1">
        <f t="array" ref="L87">SUMPRODUCT(('Data for SPECIATE'!$C$5:$C$26='PM Protocol'!L$1)*('Data for SPECIATE'!$M$1:$AZ$1='PM Protocol'!$A87)*'Data for SPECIATE'!$M$5:$AZ$26)/VLOOKUP(L$1,'Data for SPECIATE'!$C$5:$L$26,10,FALSE)</f>
        <v>0</v>
      </c>
      <c r="M87" s="188" cm="1">
        <f t="array" ref="M87">SUMPRODUCT(('Data for SPECIATE'!$C$5:$C$26='PM Protocol'!M$1)*('Data for SPECIATE'!$M$1:$AZ$1='PM Protocol'!$A87)*'Data for SPECIATE'!$M$5:$AZ$26)/VLOOKUP(M$1,'Data for SPECIATE'!$C$5:$L$26,10,FALSE)</f>
        <v>2.4465281078768568E-6</v>
      </c>
      <c r="N87" s="188" cm="1">
        <f t="array" ref="N87">SUMPRODUCT(('Data for SPECIATE'!$C$5:$C$26='PM Protocol'!N$1)*('Data for SPECIATE'!$M$1:$AZ$1='PM Protocol'!$A87)*'Data for SPECIATE'!$M$5:$AZ$26)/VLOOKUP(N$1,'Data for SPECIATE'!$C$5:$L$26,10,FALSE)</f>
        <v>2.1801657284159682E-6</v>
      </c>
      <c r="O87" s="188" cm="1">
        <f t="array" ref="O87">SUMPRODUCT(('Data for SPECIATE'!$C$5:$C$26='PM Protocol'!O$1)*('Data for SPECIATE'!$M$1:$AZ$1='PM Protocol'!$A87)*'Data for SPECIATE'!$M$5:$AZ$26)/VLOOKUP(O$1,'Data for SPECIATE'!$C$5:$L$26,10,FALSE)</f>
        <v>0</v>
      </c>
      <c r="P87" s="188" cm="1">
        <f t="array" ref="P87">SUMPRODUCT(('Data for SPECIATE'!$C$5:$C$26='PM Protocol'!P$1)*('Data for SPECIATE'!$M$1:$AZ$1='PM Protocol'!$A87)*'Data for SPECIATE'!$M$5:$AZ$26)/VLOOKUP(P$1,'Data for SPECIATE'!$C$5:$L$26,10,FALSE)</f>
        <v>0</v>
      </c>
      <c r="Q87" s="188" cm="1">
        <f t="array" ref="Q87">SUMPRODUCT(('Data for SPECIATE'!$C$5:$C$26='PM Protocol'!Q$1)*('Data for SPECIATE'!$M$1:$AZ$1='PM Protocol'!$A87)*'Data for SPECIATE'!$M$5:$AZ$26)/VLOOKUP(Q$1,'Data for SPECIATE'!$C$5:$L$26,10,FALSE)</f>
        <v>0</v>
      </c>
      <c r="R87" s="188" cm="1">
        <f t="array" ref="R87">SUMPRODUCT(('Data for SPECIATE'!$C$5:$C$26='PM Protocol'!R$1)*('Data for SPECIATE'!$M$1:$AZ$1='PM Protocol'!$A87)*'Data for SPECIATE'!$M$5:$AZ$26)/SUMPRODUCT(('Data for SPECIATE'!$C$5:$C$26='PM Protocol'!R$1)*'Data for SPECIATE'!$M$5:$AZ$26)</f>
        <v>1.4630102314240119E-5</v>
      </c>
      <c r="S87" s="188" cm="1">
        <f t="array" ref="S87">SUMPRODUCT(('Data for SPECIATE'!$C$5:$C$26='PM Protocol'!S$1)*('Data for SPECIATE'!$M$1:$AZ$1='PM Protocol'!$A87)*'Data for SPECIATE'!$M$5:$AZ$26)/VLOOKUP(S$1,'Data for SPECIATE'!$C$5:$L$26,10,FALSE)</f>
        <v>0</v>
      </c>
      <c r="T87" s="188" cm="1">
        <f t="array" ref="T87">SUMPRODUCT(('Data for SPECIATE'!$C$5:$C$26='PM Protocol'!T$1)*('Data for SPECIATE'!$M$1:$AZ$1='PM Protocol'!$A87)*'Data for SPECIATE'!$M$5:$AZ$26)/VLOOKUP(T$1,'Data for SPECIATE'!$C$5:$L$26,10,FALSE)</f>
        <v>4.3747956343915388E-5</v>
      </c>
      <c r="U87" s="188" cm="1">
        <f t="array" ref="U87">SUMPRODUCT(('Data for SPECIATE'!$C$5:$C$26='PM Protocol'!U$1)*('Data for SPECIATE'!$M$1:$AZ$1='PM Protocol'!$A87)*'Data for SPECIATE'!$M$5:$AZ$26)/VLOOKUP(U$1,'Data for SPECIATE'!$C$5:$L$26,10,FALSE)</f>
        <v>0</v>
      </c>
      <c r="V87" s="188" cm="1">
        <f t="array" ref="V87">SUMPRODUCT(('Data for SPECIATE'!$C$5:$C$26='PM Protocol'!V$1)*('Data for SPECIATE'!$M$1:$AZ$1='PM Protocol'!$A87)*'Data for SPECIATE'!$M$5:$AZ$26)/VLOOKUP(V$1,'Data for SPECIATE'!$C$5:$L$26,10,FALSE)</f>
        <v>4.8057810321260805E-6</v>
      </c>
      <c r="W87" s="188" cm="1">
        <f t="array" ref="W87">SUMPRODUCT(('Data for SPECIATE'!$C$5:$C$26='PM Protocol'!W$1)*('Data for SPECIATE'!$M$1:$AZ$1='PM Protocol'!$A87)*'Data for SPECIATE'!$M$5:$AZ$26)/VLOOKUP(W$1,'Data for SPECIATE'!$C$5:$L$26,10,FALSE)</f>
        <v>1.3263723736155776E-5</v>
      </c>
      <c r="X87" s="188" cm="1">
        <f t="array" ref="X87">SUMPRODUCT(('Data for SPECIATE'!$C$5:$C$26='PM Protocol'!X$1)*('Data for SPECIATE'!$M$1:$AZ$1='PM Protocol'!$A87)*'Data for SPECIATE'!$M$5:$AZ$26)/VLOOKUP(X$1,'Data for SPECIATE'!$C$5:$L$26,10,FALSE)</f>
        <v>0</v>
      </c>
      <c r="Y87" s="188" cm="1">
        <f t="array" ref="Y87">SUMPRODUCT(('Data for SPECIATE'!$C$5:$C$26='PM Protocol'!Y$1)*('Data for SPECIATE'!$M$1:$AZ$1='PM Protocol'!$A87)*'Data for SPECIATE'!$M$5:$AZ$26)/VLOOKUP(Y$1,'Data for SPECIATE'!$C$5:$L$26,10,FALSE)</f>
        <v>0</v>
      </c>
      <c r="Z87" s="188" cm="1">
        <f t="array" ref="Z87">SUMPRODUCT(('Data for SPECIATE'!$C$5:$C$26='PM Protocol'!Z$1)*('Data for SPECIATE'!$M$1:$AZ$1='PM Protocol'!$A87)*'Data for SPECIATE'!$M$5:$AZ$26)/VLOOKUP(Z$1,'Data for SPECIATE'!$C$5:$L$26,10,FALSE)</f>
        <v>0</v>
      </c>
    </row>
    <row r="88" spans="1:26">
      <c r="A88">
        <v>689</v>
      </c>
      <c r="B88" t="str">
        <f>HLOOKUP(A88,'Data for SPECIATE'!$M$1:$AZ$2,2,FALSE)</f>
        <v>XRF</v>
      </c>
      <c r="C88" s="191">
        <f>IFERROR(VLOOKUP(A88,Oxides!$A$2:$G$39,7,FALSE),0)</f>
        <v>9.4E-2</v>
      </c>
      <c r="D88" t="s">
        <v>642</v>
      </c>
      <c r="E88" s="188" cm="1">
        <f t="array" ref="E88">SUMPRODUCT(('Data for SPECIATE'!$C$5:$C$26='PM Protocol'!E$1)*('Data for SPECIATE'!$M$1:$AZ$1='PM Protocol'!$A88)*'Data for SPECIATE'!$M$5:$AZ$26)/VLOOKUP(E$1,'Data for SPECIATE'!$C$5:$L$26,10,FALSE)</f>
        <v>3.0925090832350106E-6</v>
      </c>
      <c r="F88" s="188" cm="1">
        <f t="array" ref="F88">SUMPRODUCT(('Data for SPECIATE'!$C$5:$C$26='PM Protocol'!F$1)*('Data for SPECIATE'!$M$1:$AZ$1='PM Protocol'!$A88)*'Data for SPECIATE'!$M$5:$AZ$26)/VLOOKUP(F$1,'Data for SPECIATE'!$C$5:$L$26,10,FALSE)</f>
        <v>1.8945974580237752E-5</v>
      </c>
      <c r="G88" s="188" cm="1">
        <f t="array" ref="G88">SUMPRODUCT(('Data for SPECIATE'!$C$5:$C$26='PM Protocol'!G$1)*('Data for SPECIATE'!$M$1:$AZ$1='PM Protocol'!$A88)*'Data for SPECIATE'!$M$5:$AZ$26)/VLOOKUP(G$1,'Data for SPECIATE'!$C$5:$L$26,10,FALSE)</f>
        <v>5.2754903203315119E-6</v>
      </c>
      <c r="H88" s="188" cm="1">
        <f t="array" ref="H88">SUMPRODUCT(('Data for SPECIATE'!$C$5:$C$26='PM Protocol'!H$1)*('Data for SPECIATE'!$M$1:$AZ$1='PM Protocol'!$A88)*'Data for SPECIATE'!$M$5:$AZ$26)/VLOOKUP(H$1,'Data for SPECIATE'!$C$5:$L$26,10,FALSE)</f>
        <v>2.5594292792345056E-5</v>
      </c>
      <c r="I88" s="188" cm="1">
        <f t="array" ref="I88">SUMPRODUCT(('Data for SPECIATE'!$C$5:$C$26='PM Protocol'!I$1)*('Data for SPECIATE'!$M$1:$AZ$1='PM Protocol'!$A88)*'Data for SPECIATE'!$M$5:$AZ$26)/VLOOKUP(I$1,'Data for SPECIATE'!$C$5:$L$26,10,FALSE)</f>
        <v>0</v>
      </c>
      <c r="J88" s="188" cm="1">
        <f t="array" ref="J88">SUMPRODUCT(('Data for SPECIATE'!$C$5:$C$26='PM Protocol'!J$1)*('Data for SPECIATE'!$M$1:$AZ$1='PM Protocol'!$A88)*'Data for SPECIATE'!$M$5:$AZ$26)/VLOOKUP(J$1,'Data for SPECIATE'!$C$5:$L$26,10,FALSE)</f>
        <v>9.6030474138096298E-6</v>
      </c>
      <c r="K88" s="188" cm="1">
        <f t="array" ref="K88">SUMPRODUCT(('Data for SPECIATE'!$C$5:$C$26='PM Protocol'!K$1)*('Data for SPECIATE'!$M$1:$AZ$1='PM Protocol'!$A88)*'Data for SPECIATE'!$M$5:$AZ$26)/VLOOKUP(K$1,'Data for SPECIATE'!$C$5:$L$26,10,FALSE)</f>
        <v>0</v>
      </c>
      <c r="L88" s="188" cm="1">
        <f t="array" ref="L88">SUMPRODUCT(('Data for SPECIATE'!$C$5:$C$26='PM Protocol'!L$1)*('Data for SPECIATE'!$M$1:$AZ$1='PM Protocol'!$A88)*'Data for SPECIATE'!$M$5:$AZ$26)/VLOOKUP(L$1,'Data for SPECIATE'!$C$5:$L$26,10,FALSE)</f>
        <v>3.0879210136437426E-5</v>
      </c>
      <c r="M88" s="188" cm="1">
        <f t="array" ref="M88">SUMPRODUCT(('Data for SPECIATE'!$C$5:$C$26='PM Protocol'!M$1)*('Data for SPECIATE'!$M$1:$AZ$1='PM Protocol'!$A88)*'Data for SPECIATE'!$M$5:$AZ$26)/VLOOKUP(M$1,'Data for SPECIATE'!$C$5:$L$26,10,FALSE)</f>
        <v>2.4465281078768568E-6</v>
      </c>
      <c r="N88" s="188" cm="1">
        <f t="array" ref="N88">SUMPRODUCT(('Data for SPECIATE'!$C$5:$C$26='PM Protocol'!N$1)*('Data for SPECIATE'!$M$1:$AZ$1='PM Protocol'!$A88)*'Data for SPECIATE'!$M$5:$AZ$26)/VLOOKUP(N$1,'Data for SPECIATE'!$C$5:$L$26,10,FALSE)</f>
        <v>5.4504143210399208E-6</v>
      </c>
      <c r="O88" s="188" cm="1">
        <f t="array" ref="O88">SUMPRODUCT(('Data for SPECIATE'!$C$5:$C$26='PM Protocol'!O$1)*('Data for SPECIATE'!$M$1:$AZ$1='PM Protocol'!$A88)*'Data for SPECIATE'!$M$5:$AZ$26)/VLOOKUP(O$1,'Data for SPECIATE'!$C$5:$L$26,10,FALSE)</f>
        <v>7.4776663374584335E-6</v>
      </c>
      <c r="P88" s="188" cm="1">
        <f t="array" ref="P88">SUMPRODUCT(('Data for SPECIATE'!$C$5:$C$26='PM Protocol'!P$1)*('Data for SPECIATE'!$M$1:$AZ$1='PM Protocol'!$A88)*'Data for SPECIATE'!$M$5:$AZ$26)/VLOOKUP(P$1,'Data for SPECIATE'!$C$5:$L$26,10,FALSE)</f>
        <v>7.8539770215509018E-6</v>
      </c>
      <c r="Q88" s="188" cm="1">
        <f t="array" ref="Q88">SUMPRODUCT(('Data for SPECIATE'!$C$5:$C$26='PM Protocol'!Q$1)*('Data for SPECIATE'!$M$1:$AZ$1='PM Protocol'!$A88)*'Data for SPECIATE'!$M$5:$AZ$26)/VLOOKUP(Q$1,'Data for SPECIATE'!$C$5:$L$26,10,FALSE)</f>
        <v>0</v>
      </c>
      <c r="R88" s="188" cm="1">
        <f t="array" ref="R88">SUMPRODUCT(('Data for SPECIATE'!$C$5:$C$26='PM Protocol'!R$1)*('Data for SPECIATE'!$M$1:$AZ$1='PM Protocol'!$A88)*'Data for SPECIATE'!$M$5:$AZ$26)/SUMPRODUCT(('Data for SPECIATE'!$C$5:$C$26='PM Protocol'!R$1)*'Data for SPECIATE'!$M$5:$AZ$26)</f>
        <v>9.3505436530143352E-5</v>
      </c>
      <c r="S88" s="188" cm="1">
        <f t="array" ref="S88">SUMPRODUCT(('Data for SPECIATE'!$C$5:$C$26='PM Protocol'!S$1)*('Data for SPECIATE'!$M$1:$AZ$1='PM Protocol'!$A88)*'Data for SPECIATE'!$M$5:$AZ$26)/VLOOKUP(S$1,'Data for SPECIATE'!$C$5:$L$26,10,FALSE)</f>
        <v>0</v>
      </c>
      <c r="T88" s="188" cm="1">
        <f t="array" ref="T88">SUMPRODUCT(('Data for SPECIATE'!$C$5:$C$26='PM Protocol'!T$1)*('Data for SPECIATE'!$M$1:$AZ$1='PM Protocol'!$A88)*'Data for SPECIATE'!$M$5:$AZ$26)/VLOOKUP(T$1,'Data for SPECIATE'!$C$5:$L$26,10,FALSE)</f>
        <v>1.4797102881030205E-5</v>
      </c>
      <c r="U88" s="188" cm="1">
        <f t="array" ref="U88">SUMPRODUCT(('Data for SPECIATE'!$C$5:$C$26='PM Protocol'!U$1)*('Data for SPECIATE'!$M$1:$AZ$1='PM Protocol'!$A88)*'Data for SPECIATE'!$M$5:$AZ$26)/VLOOKUP(U$1,'Data for SPECIATE'!$C$5:$L$26,10,FALSE)</f>
        <v>0</v>
      </c>
      <c r="V88" s="188" cm="1">
        <f t="array" ref="V88">SUMPRODUCT(('Data for SPECIATE'!$C$5:$C$26='PM Protocol'!V$1)*('Data for SPECIATE'!$M$1:$AZ$1='PM Protocol'!$A88)*'Data for SPECIATE'!$M$5:$AZ$26)/VLOOKUP(V$1,'Data for SPECIATE'!$C$5:$L$26,10,FALSE)</f>
        <v>6.4222710156593981E-5</v>
      </c>
      <c r="W88" s="188" cm="1">
        <f t="array" ref="W88">SUMPRODUCT(('Data for SPECIATE'!$C$5:$C$26='PM Protocol'!W$1)*('Data for SPECIATE'!$M$1:$AZ$1='PM Protocol'!$A88)*'Data for SPECIATE'!$M$5:$AZ$26)/VLOOKUP(W$1,'Data for SPECIATE'!$C$5:$L$26,10,FALSE)</f>
        <v>8.777464237161912E-6</v>
      </c>
      <c r="X88" s="188" cm="1">
        <f t="array" ref="X88">SUMPRODUCT(('Data for SPECIATE'!$C$5:$C$26='PM Protocol'!X$1)*('Data for SPECIATE'!$M$1:$AZ$1='PM Protocol'!$A88)*'Data for SPECIATE'!$M$5:$AZ$26)/VLOOKUP(X$1,'Data for SPECIATE'!$C$5:$L$26,10,FALSE)</f>
        <v>6.2243343482770933E-5</v>
      </c>
      <c r="Y88" s="188" cm="1">
        <f t="array" ref="Y88">SUMPRODUCT(('Data for SPECIATE'!$C$5:$C$26='PM Protocol'!Y$1)*('Data for SPECIATE'!$M$1:$AZ$1='PM Protocol'!$A88)*'Data for SPECIATE'!$M$5:$AZ$26)/VLOOKUP(Y$1,'Data for SPECIATE'!$C$5:$L$26,10,FALSE)</f>
        <v>0</v>
      </c>
      <c r="Z88" s="188" cm="1">
        <f t="array" ref="Z88">SUMPRODUCT(('Data for SPECIATE'!$C$5:$C$26='PM Protocol'!Z$1)*('Data for SPECIATE'!$M$1:$AZ$1='PM Protocol'!$A88)*'Data for SPECIATE'!$M$5:$AZ$26)/VLOOKUP(Z$1,'Data for SPECIATE'!$C$5:$L$26,10,FALSE)</f>
        <v>1.7344799533916486E-5</v>
      </c>
    </row>
    <row r="89" spans="1:26">
      <c r="A89">
        <v>697</v>
      </c>
      <c r="B89" t="str">
        <f>HLOOKUP(A89,'Data for SPECIATE'!$M$1:$AZ$2,2,FALSE)</f>
        <v>XRF</v>
      </c>
      <c r="C89" s="191">
        <f>IFERROR(VLOOKUP(A89,Oxides!$A$2:$G$39,7,FALSE),0)</f>
        <v>0.183</v>
      </c>
      <c r="D89" t="s">
        <v>643</v>
      </c>
      <c r="E89" s="188" cm="1">
        <f t="array" ref="E89">SUMPRODUCT(('Data for SPECIATE'!$C$5:$C$26='PM Protocol'!E$1)*('Data for SPECIATE'!$M$1:$AZ$1='PM Protocol'!$A89)*'Data for SPECIATE'!$M$5:$AZ$26)/VLOOKUP(E$1,'Data for SPECIATE'!$C$5:$L$26,10,FALSE)</f>
        <v>0</v>
      </c>
      <c r="F89" s="188" cm="1">
        <f t="array" ref="F89">SUMPRODUCT(('Data for SPECIATE'!$C$5:$C$26='PM Protocol'!F$1)*('Data for SPECIATE'!$M$1:$AZ$1='PM Protocol'!$A89)*'Data for SPECIATE'!$M$5:$AZ$26)/VLOOKUP(F$1,'Data for SPECIATE'!$C$5:$L$26,10,FALSE)</f>
        <v>0</v>
      </c>
      <c r="G89" s="188" cm="1">
        <f t="array" ref="G89">SUMPRODUCT(('Data for SPECIATE'!$C$5:$C$26='PM Protocol'!G$1)*('Data for SPECIATE'!$M$1:$AZ$1='PM Protocol'!$A89)*'Data for SPECIATE'!$M$5:$AZ$26)/VLOOKUP(G$1,'Data for SPECIATE'!$C$5:$L$26,10,FALSE)</f>
        <v>0</v>
      </c>
      <c r="H89" s="188" cm="1">
        <f t="array" ref="H89">SUMPRODUCT(('Data for SPECIATE'!$C$5:$C$26='PM Protocol'!H$1)*('Data for SPECIATE'!$M$1:$AZ$1='PM Protocol'!$A89)*'Data for SPECIATE'!$M$5:$AZ$26)/VLOOKUP(H$1,'Data for SPECIATE'!$C$5:$L$26,10,FALSE)</f>
        <v>0</v>
      </c>
      <c r="I89" s="188" cm="1">
        <f t="array" ref="I89">SUMPRODUCT(('Data for SPECIATE'!$C$5:$C$26='PM Protocol'!I$1)*('Data for SPECIATE'!$M$1:$AZ$1='PM Protocol'!$A89)*'Data for SPECIATE'!$M$5:$AZ$26)/VLOOKUP(I$1,'Data for SPECIATE'!$C$5:$L$26,10,FALSE)</f>
        <v>1.2726691551355138E-5</v>
      </c>
      <c r="J89" s="188" cm="1">
        <f t="array" ref="J89">SUMPRODUCT(('Data for SPECIATE'!$C$5:$C$26='PM Protocol'!J$1)*('Data for SPECIATE'!$M$1:$AZ$1='PM Protocol'!$A89)*'Data for SPECIATE'!$M$5:$AZ$26)/VLOOKUP(J$1,'Data for SPECIATE'!$C$5:$L$26,10,FALSE)</f>
        <v>0</v>
      </c>
      <c r="K89" s="188" cm="1">
        <f t="array" ref="K89">SUMPRODUCT(('Data for SPECIATE'!$C$5:$C$26='PM Protocol'!K$1)*('Data for SPECIATE'!$M$1:$AZ$1='PM Protocol'!$A89)*'Data for SPECIATE'!$M$5:$AZ$26)/VLOOKUP(K$1,'Data for SPECIATE'!$C$5:$L$26,10,FALSE)</f>
        <v>0</v>
      </c>
      <c r="L89" s="188" cm="1">
        <f t="array" ref="L89">SUMPRODUCT(('Data for SPECIATE'!$C$5:$C$26='PM Protocol'!L$1)*('Data for SPECIATE'!$M$1:$AZ$1='PM Protocol'!$A89)*'Data for SPECIATE'!$M$5:$AZ$26)/VLOOKUP(L$1,'Data for SPECIATE'!$C$5:$L$26,10,FALSE)</f>
        <v>6.1485152926534703E-6</v>
      </c>
      <c r="M89" s="188" cm="1">
        <f t="array" ref="M89">SUMPRODUCT(('Data for SPECIATE'!$C$5:$C$26='PM Protocol'!M$1)*('Data for SPECIATE'!$M$1:$AZ$1='PM Protocol'!$A89)*'Data for SPECIATE'!$M$5:$AZ$26)/VLOOKUP(M$1,'Data for SPECIATE'!$C$5:$L$26,10,FALSE)</f>
        <v>2.4465281078768568E-6</v>
      </c>
      <c r="N89" s="188" cm="1">
        <f t="array" ref="N89">SUMPRODUCT(('Data for SPECIATE'!$C$5:$C$26='PM Protocol'!N$1)*('Data for SPECIATE'!$M$1:$AZ$1='PM Protocol'!$A89)*'Data for SPECIATE'!$M$5:$AZ$26)/VLOOKUP(N$1,'Data for SPECIATE'!$C$5:$L$26,10,FALSE)</f>
        <v>5.065679192495928E-6</v>
      </c>
      <c r="O89" s="188" cm="1">
        <f t="array" ref="O89">SUMPRODUCT(('Data for SPECIATE'!$C$5:$C$26='PM Protocol'!O$1)*('Data for SPECIATE'!$M$1:$AZ$1='PM Protocol'!$A89)*'Data for SPECIATE'!$M$5:$AZ$26)/VLOOKUP(O$1,'Data for SPECIATE'!$C$5:$L$26,10,FALSE)</f>
        <v>0</v>
      </c>
      <c r="P89" s="188" cm="1">
        <f t="array" ref="P89">SUMPRODUCT(('Data for SPECIATE'!$C$5:$C$26='PM Protocol'!P$1)*('Data for SPECIATE'!$M$1:$AZ$1='PM Protocol'!$A89)*'Data for SPECIATE'!$M$5:$AZ$26)/VLOOKUP(P$1,'Data for SPECIATE'!$C$5:$L$26,10,FALSE)</f>
        <v>2.5987423968366947E-6</v>
      </c>
      <c r="Q89" s="188" cm="1">
        <f t="array" ref="Q89">SUMPRODUCT(('Data for SPECIATE'!$C$5:$C$26='PM Protocol'!Q$1)*('Data for SPECIATE'!$M$1:$AZ$1='PM Protocol'!$A89)*'Data for SPECIATE'!$M$5:$AZ$26)/VLOOKUP(Q$1,'Data for SPECIATE'!$C$5:$L$26,10,FALSE)</f>
        <v>0</v>
      </c>
      <c r="R89" s="188" cm="1">
        <f t="array" ref="R89">SUMPRODUCT(('Data for SPECIATE'!$C$5:$C$26='PM Protocol'!R$1)*('Data for SPECIATE'!$M$1:$AZ$1='PM Protocol'!$A89)*'Data for SPECIATE'!$M$5:$AZ$26)/SUMPRODUCT(('Data for SPECIATE'!$C$5:$C$26='PM Protocol'!R$1)*'Data for SPECIATE'!$M$5:$AZ$26)</f>
        <v>0</v>
      </c>
      <c r="S89" s="188" cm="1">
        <f t="array" ref="S89">SUMPRODUCT(('Data for SPECIATE'!$C$5:$C$26='PM Protocol'!S$1)*('Data for SPECIATE'!$M$1:$AZ$1='PM Protocol'!$A89)*'Data for SPECIATE'!$M$5:$AZ$26)/VLOOKUP(S$1,'Data for SPECIATE'!$C$5:$L$26,10,FALSE)</f>
        <v>0</v>
      </c>
      <c r="T89" s="188" cm="1">
        <f t="array" ref="T89">SUMPRODUCT(('Data for SPECIATE'!$C$5:$C$26='PM Protocol'!T$1)*('Data for SPECIATE'!$M$1:$AZ$1='PM Protocol'!$A89)*'Data for SPECIATE'!$M$5:$AZ$26)/VLOOKUP(T$1,'Data for SPECIATE'!$C$5:$L$26,10,FALSE)</f>
        <v>0</v>
      </c>
      <c r="U89" s="188" cm="1">
        <f t="array" ref="U89">SUMPRODUCT(('Data for SPECIATE'!$C$5:$C$26='PM Protocol'!U$1)*('Data for SPECIATE'!$M$1:$AZ$1='PM Protocol'!$A89)*'Data for SPECIATE'!$M$5:$AZ$26)/VLOOKUP(U$1,'Data for SPECIATE'!$C$5:$L$26,10,FALSE)</f>
        <v>0</v>
      </c>
      <c r="V89" s="188" cm="1">
        <f t="array" ref="V89">SUMPRODUCT(('Data for SPECIATE'!$C$5:$C$26='PM Protocol'!V$1)*('Data for SPECIATE'!$M$1:$AZ$1='PM Protocol'!$A89)*'Data for SPECIATE'!$M$5:$AZ$26)/VLOOKUP(V$1,'Data for SPECIATE'!$C$5:$L$26,10,FALSE)</f>
        <v>0</v>
      </c>
      <c r="W89" s="188" cm="1">
        <f t="array" ref="W89">SUMPRODUCT(('Data for SPECIATE'!$C$5:$C$26='PM Protocol'!W$1)*('Data for SPECIATE'!$M$1:$AZ$1='PM Protocol'!$A89)*'Data for SPECIATE'!$M$5:$AZ$26)/VLOOKUP(W$1,'Data for SPECIATE'!$C$5:$L$26,10,FALSE)</f>
        <v>0</v>
      </c>
      <c r="X89" s="188" cm="1">
        <f t="array" ref="X89">SUMPRODUCT(('Data for SPECIATE'!$C$5:$C$26='PM Protocol'!X$1)*('Data for SPECIATE'!$M$1:$AZ$1='PM Protocol'!$A89)*'Data for SPECIATE'!$M$5:$AZ$26)/VLOOKUP(X$1,'Data for SPECIATE'!$C$5:$L$26,10,FALSE)</f>
        <v>0</v>
      </c>
      <c r="Y89" s="188" cm="1">
        <f t="array" ref="Y89">SUMPRODUCT(('Data for SPECIATE'!$C$5:$C$26='PM Protocol'!Y$1)*('Data for SPECIATE'!$M$1:$AZ$1='PM Protocol'!$A89)*'Data for SPECIATE'!$M$5:$AZ$26)/VLOOKUP(Y$1,'Data for SPECIATE'!$C$5:$L$26,10,FALSE)</f>
        <v>0</v>
      </c>
      <c r="Z89" s="188" cm="1">
        <f t="array" ref="Z89">SUMPRODUCT(('Data for SPECIATE'!$C$5:$C$26='PM Protocol'!Z$1)*('Data for SPECIATE'!$M$1:$AZ$1='PM Protocol'!$A89)*'Data for SPECIATE'!$M$5:$AZ$26)/VLOOKUP(Z$1,'Data for SPECIATE'!$C$5:$L$26,10,FALSE)</f>
        <v>0</v>
      </c>
    </row>
    <row r="90" spans="1:26">
      <c r="A90">
        <v>779</v>
      </c>
      <c r="B90" t="str">
        <f>HLOOKUP(A90,'Data for SPECIATE'!$M$1:$AZ$2,2,FALSE)</f>
        <v>XRF</v>
      </c>
      <c r="C90" s="191">
        <f>IFERROR(VLOOKUP(A90,Oxides!$A$2:$G$39,7,FALSE),0)</f>
        <v>0.35099999999999998</v>
      </c>
      <c r="D90" t="s">
        <v>645</v>
      </c>
      <c r="E90" s="188" cm="1">
        <f t="array" ref="E90">SUMPRODUCT(('Data for SPECIATE'!$C$5:$C$26='PM Protocol'!E$1)*('Data for SPECIATE'!$M$1:$AZ$1='PM Protocol'!$A90)*'Data for SPECIATE'!$M$5:$AZ$26)/VLOOKUP(E$1,'Data for SPECIATE'!$C$5:$L$26,10,FALSE)</f>
        <v>1.4790260832863099E-6</v>
      </c>
      <c r="F90" s="188" cm="1">
        <f t="array" ref="F90">SUMPRODUCT(('Data for SPECIATE'!$C$5:$C$26='PM Protocol'!F$1)*('Data for SPECIATE'!$M$1:$AZ$1='PM Protocol'!$A90)*'Data for SPECIATE'!$M$5:$AZ$26)/VLOOKUP(F$1,'Data for SPECIATE'!$C$5:$L$26,10,FALSE)</f>
        <v>1.4235649408355438E-5</v>
      </c>
      <c r="G90" s="188" cm="1">
        <f t="array" ref="G90">SUMPRODUCT(('Data for SPECIATE'!$C$5:$C$26='PM Protocol'!G$1)*('Data for SPECIATE'!$M$1:$AZ$1='PM Protocol'!$A90)*'Data for SPECIATE'!$M$5:$AZ$26)/VLOOKUP(G$1,'Data for SPECIATE'!$C$5:$L$26,10,FALSE)</f>
        <v>5.2754903203315119E-6</v>
      </c>
      <c r="H90" s="188" cm="1">
        <f t="array" ref="H90">SUMPRODUCT(('Data for SPECIATE'!$C$5:$C$26='PM Protocol'!H$1)*('Data for SPECIATE'!$M$1:$AZ$1='PM Protocol'!$A90)*'Data for SPECIATE'!$M$5:$AZ$26)/VLOOKUP(H$1,'Data for SPECIATE'!$C$5:$L$26,10,FALSE)</f>
        <v>0</v>
      </c>
      <c r="I90" s="188" cm="1">
        <f t="array" ref="I90">SUMPRODUCT(('Data for SPECIATE'!$C$5:$C$26='PM Protocol'!I$1)*('Data for SPECIATE'!$M$1:$AZ$1='PM Protocol'!$A90)*'Data for SPECIATE'!$M$5:$AZ$26)/VLOOKUP(I$1,'Data for SPECIATE'!$C$5:$L$26,10,FALSE)</f>
        <v>3.5907451162751994E-5</v>
      </c>
      <c r="J90" s="188" cm="1">
        <f t="array" ref="J90">SUMPRODUCT(('Data for SPECIATE'!$C$5:$C$26='PM Protocol'!J$1)*('Data for SPECIATE'!$M$1:$AZ$1='PM Protocol'!$A90)*'Data for SPECIATE'!$M$5:$AZ$26)/VLOOKUP(J$1,'Data for SPECIATE'!$C$5:$L$26,10,FALSE)</f>
        <v>0</v>
      </c>
      <c r="K90" s="188" cm="1">
        <f t="array" ref="K90">SUMPRODUCT(('Data for SPECIATE'!$C$5:$C$26='PM Protocol'!K$1)*('Data for SPECIATE'!$M$1:$AZ$1='PM Protocol'!$A90)*'Data for SPECIATE'!$M$5:$AZ$26)/VLOOKUP(K$1,'Data for SPECIATE'!$C$5:$L$26,10,FALSE)</f>
        <v>0</v>
      </c>
      <c r="L90" s="188" cm="1">
        <f t="array" ref="L90">SUMPRODUCT(('Data for SPECIATE'!$C$5:$C$26='PM Protocol'!L$1)*('Data for SPECIATE'!$M$1:$AZ$1='PM Protocol'!$A90)*'Data for SPECIATE'!$M$5:$AZ$26)/VLOOKUP(L$1,'Data for SPECIATE'!$C$5:$L$26,10,FALSE)</f>
        <v>0</v>
      </c>
      <c r="M90" s="188" cm="1">
        <f t="array" ref="M90">SUMPRODUCT(('Data for SPECIATE'!$C$5:$C$26='PM Protocol'!M$1)*('Data for SPECIATE'!$M$1:$AZ$1='PM Protocol'!$A90)*'Data for SPECIATE'!$M$5:$AZ$26)/VLOOKUP(M$1,'Data for SPECIATE'!$C$5:$L$26,10,FALSE)</f>
        <v>0</v>
      </c>
      <c r="N90" s="188" cm="1">
        <f t="array" ref="N90">SUMPRODUCT(('Data for SPECIATE'!$C$5:$C$26='PM Protocol'!N$1)*('Data for SPECIATE'!$M$1:$AZ$1='PM Protocol'!$A90)*'Data for SPECIATE'!$M$5:$AZ$26)/VLOOKUP(N$1,'Data for SPECIATE'!$C$5:$L$26,10,FALSE)</f>
        <v>3.270248592623953E-6</v>
      </c>
      <c r="O90" s="188" cm="1">
        <f t="array" ref="O90">SUMPRODUCT(('Data for SPECIATE'!$C$5:$C$26='PM Protocol'!O$1)*('Data for SPECIATE'!$M$1:$AZ$1='PM Protocol'!$A90)*'Data for SPECIATE'!$M$5:$AZ$26)/VLOOKUP(O$1,'Data for SPECIATE'!$C$5:$L$26,10,FALSE)</f>
        <v>0</v>
      </c>
      <c r="P90" s="188" cm="1">
        <f t="array" ref="P90">SUMPRODUCT(('Data for SPECIATE'!$C$5:$C$26='PM Protocol'!P$1)*('Data for SPECIATE'!$M$1:$AZ$1='PM Protocol'!$A90)*'Data for SPECIATE'!$M$5:$AZ$26)/VLOOKUP(P$1,'Data for SPECIATE'!$C$5:$L$26,10,FALSE)</f>
        <v>0</v>
      </c>
      <c r="Q90" s="188" cm="1">
        <f t="array" ref="Q90">SUMPRODUCT(('Data for SPECIATE'!$C$5:$C$26='PM Protocol'!Q$1)*('Data for SPECIATE'!$M$1:$AZ$1='PM Protocol'!$A90)*'Data for SPECIATE'!$M$5:$AZ$26)/VLOOKUP(Q$1,'Data for SPECIATE'!$C$5:$L$26,10,FALSE)</f>
        <v>5.4157233452573316E-5</v>
      </c>
      <c r="R90" s="188" cm="1">
        <f t="array" ref="R90">SUMPRODUCT(('Data for SPECIATE'!$C$5:$C$26='PM Protocol'!R$1)*('Data for SPECIATE'!$M$1:$AZ$1='PM Protocol'!$A90)*'Data for SPECIATE'!$M$5:$AZ$26)/SUMPRODUCT(('Data for SPECIATE'!$C$5:$C$26='PM Protocol'!R$1)*'Data for SPECIATE'!$M$5:$AZ$26)</f>
        <v>0</v>
      </c>
      <c r="S90" s="188" cm="1">
        <f t="array" ref="S90">SUMPRODUCT(('Data for SPECIATE'!$C$5:$C$26='PM Protocol'!S$1)*('Data for SPECIATE'!$M$1:$AZ$1='PM Protocol'!$A90)*'Data for SPECIATE'!$M$5:$AZ$26)/VLOOKUP(S$1,'Data for SPECIATE'!$C$5:$L$26,10,FALSE)</f>
        <v>0</v>
      </c>
      <c r="T90" s="188" cm="1">
        <f t="array" ref="T90">SUMPRODUCT(('Data for SPECIATE'!$C$5:$C$26='PM Protocol'!T$1)*('Data for SPECIATE'!$M$1:$AZ$1='PM Protocol'!$A90)*'Data for SPECIATE'!$M$5:$AZ$26)/VLOOKUP(T$1,'Data for SPECIATE'!$C$5:$L$26,10,FALSE)</f>
        <v>7.07687529092749E-6</v>
      </c>
      <c r="U90" s="188" cm="1">
        <f t="array" ref="U90">SUMPRODUCT(('Data for SPECIATE'!$C$5:$C$26='PM Protocol'!U$1)*('Data for SPECIATE'!$M$1:$AZ$1='PM Protocol'!$A90)*'Data for SPECIATE'!$M$5:$AZ$26)/VLOOKUP(U$1,'Data for SPECIATE'!$C$5:$L$26,10,FALSE)</f>
        <v>0</v>
      </c>
      <c r="V90" s="188" cm="1">
        <f t="array" ref="V90">SUMPRODUCT(('Data for SPECIATE'!$C$5:$C$26='PM Protocol'!V$1)*('Data for SPECIATE'!$M$1:$AZ$1='PM Protocol'!$A90)*'Data for SPECIATE'!$M$5:$AZ$26)/VLOOKUP(V$1,'Data for SPECIATE'!$C$5:$L$26,10,FALSE)</f>
        <v>0</v>
      </c>
      <c r="W90" s="188" cm="1">
        <f t="array" ref="W90">SUMPRODUCT(('Data for SPECIATE'!$C$5:$C$26='PM Protocol'!W$1)*('Data for SPECIATE'!$M$1:$AZ$1='PM Protocol'!$A90)*'Data for SPECIATE'!$M$5:$AZ$26)/VLOOKUP(W$1,'Data for SPECIATE'!$C$5:$L$26,10,FALSE)</f>
        <v>0</v>
      </c>
      <c r="X90" s="188" cm="1">
        <f t="array" ref="X90">SUMPRODUCT(('Data for SPECIATE'!$C$5:$C$26='PM Protocol'!X$1)*('Data for SPECIATE'!$M$1:$AZ$1='PM Protocol'!$A90)*'Data for SPECIATE'!$M$5:$AZ$26)/VLOOKUP(X$1,'Data for SPECIATE'!$C$5:$L$26,10,FALSE)</f>
        <v>0</v>
      </c>
      <c r="Y90" s="188" cm="1">
        <f t="array" ref="Y90">SUMPRODUCT(('Data for SPECIATE'!$C$5:$C$26='PM Protocol'!Y$1)*('Data for SPECIATE'!$M$1:$AZ$1='PM Protocol'!$A90)*'Data for SPECIATE'!$M$5:$AZ$26)/VLOOKUP(Y$1,'Data for SPECIATE'!$C$5:$L$26,10,FALSE)</f>
        <v>0</v>
      </c>
      <c r="Z90" s="188" cm="1">
        <f t="array" ref="Z90">SUMPRODUCT(('Data for SPECIATE'!$C$5:$C$26='PM Protocol'!Z$1)*('Data for SPECIATE'!$M$1:$AZ$1='PM Protocol'!$A90)*'Data for SPECIATE'!$M$5:$AZ$26)/VLOOKUP(Z$1,'Data for SPECIATE'!$C$5:$L$26,10,FALSE)</f>
        <v>0</v>
      </c>
    </row>
    <row r="91" spans="1:26">
      <c r="A91">
        <v>586</v>
      </c>
      <c r="B91" t="str">
        <f>HLOOKUP(A91,'Data for SPECIATE'!$M$1:$AZ$2,2,FALSE)</f>
        <v>XRF</v>
      </c>
      <c r="C91" s="191">
        <f>IFERROR(VLOOKUP(A91,Oxides!$A$2:$G$39,7,FALSE),0)</f>
        <v>0.41699999999999998</v>
      </c>
      <c r="D91" t="s">
        <v>646</v>
      </c>
      <c r="E91" s="188" cm="1">
        <f t="array" ref="E91">SUMPRODUCT(('Data for SPECIATE'!$C$5:$C$26='PM Protocol'!E$1)*('Data for SPECIATE'!$M$1:$AZ$1='PM Protocol'!$A91)*'Data for SPECIATE'!$M$5:$AZ$26)/VLOOKUP(E$1,'Data for SPECIATE'!$C$5:$L$26,10,FALSE)</f>
        <v>0</v>
      </c>
      <c r="F91" s="188" cm="1">
        <f t="array" ref="F91">SUMPRODUCT(('Data for SPECIATE'!$C$5:$C$26='PM Protocol'!F$1)*('Data for SPECIATE'!$M$1:$AZ$1='PM Protocol'!$A91)*'Data for SPECIATE'!$M$5:$AZ$26)/VLOOKUP(F$1,'Data for SPECIATE'!$C$5:$L$26,10,FALSE)</f>
        <v>0</v>
      </c>
      <c r="G91" s="188" cm="1">
        <f t="array" ref="G91">SUMPRODUCT(('Data for SPECIATE'!$C$5:$C$26='PM Protocol'!G$1)*('Data for SPECIATE'!$M$1:$AZ$1='PM Protocol'!$A91)*'Data for SPECIATE'!$M$5:$AZ$26)/VLOOKUP(G$1,'Data for SPECIATE'!$C$5:$L$26,10,FALSE)</f>
        <v>0</v>
      </c>
      <c r="H91" s="188" cm="1">
        <f t="array" ref="H91">SUMPRODUCT(('Data for SPECIATE'!$C$5:$C$26='PM Protocol'!H$1)*('Data for SPECIATE'!$M$1:$AZ$1='PM Protocol'!$A91)*'Data for SPECIATE'!$M$5:$AZ$26)/VLOOKUP(H$1,'Data for SPECIATE'!$C$5:$L$26,10,FALSE)</f>
        <v>0</v>
      </c>
      <c r="I91" s="188" cm="1">
        <f t="array" ref="I91">SUMPRODUCT(('Data for SPECIATE'!$C$5:$C$26='PM Protocol'!I$1)*('Data for SPECIATE'!$M$1:$AZ$1='PM Protocol'!$A91)*'Data for SPECIATE'!$M$5:$AZ$26)/VLOOKUP(I$1,'Data for SPECIATE'!$C$5:$L$26,10,FALSE)</f>
        <v>0</v>
      </c>
      <c r="J91" s="188" cm="1">
        <f t="array" ref="J91">SUMPRODUCT(('Data for SPECIATE'!$C$5:$C$26='PM Protocol'!J$1)*('Data for SPECIATE'!$M$1:$AZ$1='PM Protocol'!$A91)*'Data for SPECIATE'!$M$5:$AZ$26)/VLOOKUP(J$1,'Data for SPECIATE'!$C$5:$L$26,10,FALSE)</f>
        <v>0</v>
      </c>
      <c r="K91" s="188" cm="1">
        <f t="array" ref="K91">SUMPRODUCT(('Data for SPECIATE'!$C$5:$C$26='PM Protocol'!K$1)*('Data for SPECIATE'!$M$1:$AZ$1='PM Protocol'!$A91)*'Data for SPECIATE'!$M$5:$AZ$26)/VLOOKUP(K$1,'Data for SPECIATE'!$C$5:$L$26,10,FALSE)</f>
        <v>0</v>
      </c>
      <c r="L91" s="188" cm="1">
        <f t="array" ref="L91">SUMPRODUCT(('Data for SPECIATE'!$C$5:$C$26='PM Protocol'!L$1)*('Data for SPECIATE'!$M$1:$AZ$1='PM Protocol'!$A91)*'Data for SPECIATE'!$M$5:$AZ$26)/VLOOKUP(L$1,'Data for SPECIATE'!$C$5:$L$26,10,FALSE)</f>
        <v>0</v>
      </c>
      <c r="M91" s="188" cm="1">
        <f t="array" ref="M91">SUMPRODUCT(('Data for SPECIATE'!$C$5:$C$26='PM Protocol'!M$1)*('Data for SPECIATE'!$M$1:$AZ$1='PM Protocol'!$A91)*'Data for SPECIATE'!$M$5:$AZ$26)/VLOOKUP(M$1,'Data for SPECIATE'!$C$5:$L$26,10,FALSE)</f>
        <v>0</v>
      </c>
      <c r="N91" s="188" cm="1">
        <f t="array" ref="N91">SUMPRODUCT(('Data for SPECIATE'!$C$5:$C$26='PM Protocol'!N$1)*('Data for SPECIATE'!$M$1:$AZ$1='PM Protocol'!$A91)*'Data for SPECIATE'!$M$5:$AZ$26)/VLOOKUP(N$1,'Data for SPECIATE'!$C$5:$L$26,10,FALSE)</f>
        <v>0</v>
      </c>
      <c r="O91" s="188" cm="1">
        <f t="array" ref="O91">SUMPRODUCT(('Data for SPECIATE'!$C$5:$C$26='PM Protocol'!O$1)*('Data for SPECIATE'!$M$1:$AZ$1='PM Protocol'!$A91)*'Data for SPECIATE'!$M$5:$AZ$26)/VLOOKUP(O$1,'Data for SPECIATE'!$C$5:$L$26,10,FALSE)</f>
        <v>1.694937703157245E-5</v>
      </c>
      <c r="P91" s="188" cm="1">
        <f t="array" ref="P91">SUMPRODUCT(('Data for SPECIATE'!$C$5:$C$26='PM Protocol'!P$1)*('Data for SPECIATE'!$M$1:$AZ$1='PM Protocol'!$A91)*'Data for SPECIATE'!$M$5:$AZ$26)/VLOOKUP(P$1,'Data for SPECIATE'!$C$5:$L$26,10,FALSE)</f>
        <v>0</v>
      </c>
      <c r="Q91" s="188" cm="1">
        <f t="array" ref="Q91">SUMPRODUCT(('Data for SPECIATE'!$C$5:$C$26='PM Protocol'!Q$1)*('Data for SPECIATE'!$M$1:$AZ$1='PM Protocol'!$A91)*'Data for SPECIATE'!$M$5:$AZ$26)/VLOOKUP(Q$1,'Data for SPECIATE'!$C$5:$L$26,10,FALSE)</f>
        <v>0</v>
      </c>
      <c r="R91" s="188" cm="1">
        <f t="array" ref="R91">SUMPRODUCT(('Data for SPECIATE'!$C$5:$C$26='PM Protocol'!R$1)*('Data for SPECIATE'!$M$1:$AZ$1='PM Protocol'!$A91)*'Data for SPECIATE'!$M$5:$AZ$26)/SUMPRODUCT(('Data for SPECIATE'!$C$5:$C$26='PM Protocol'!R$1)*'Data for SPECIATE'!$M$5:$AZ$26)</f>
        <v>0</v>
      </c>
      <c r="S91" s="188" cm="1">
        <f t="array" ref="S91">SUMPRODUCT(('Data for SPECIATE'!$C$5:$C$26='PM Protocol'!S$1)*('Data for SPECIATE'!$M$1:$AZ$1='PM Protocol'!$A91)*'Data for SPECIATE'!$M$5:$AZ$26)/VLOOKUP(S$1,'Data for SPECIATE'!$C$5:$L$26,10,FALSE)</f>
        <v>0</v>
      </c>
      <c r="T91" s="188" cm="1">
        <f t="array" ref="T91">SUMPRODUCT(('Data for SPECIATE'!$C$5:$C$26='PM Protocol'!T$1)*('Data for SPECIATE'!$M$1:$AZ$1='PM Protocol'!$A91)*'Data for SPECIATE'!$M$5:$AZ$26)/VLOOKUP(T$1,'Data for SPECIATE'!$C$5:$L$26,10,FALSE)</f>
        <v>3.6027728753812672E-5</v>
      </c>
      <c r="U91" s="188" cm="1">
        <f t="array" ref="U91">SUMPRODUCT(('Data for SPECIATE'!$C$5:$C$26='PM Protocol'!U$1)*('Data for SPECIATE'!$M$1:$AZ$1='PM Protocol'!$A91)*'Data for SPECIATE'!$M$5:$AZ$26)/VLOOKUP(U$1,'Data for SPECIATE'!$C$5:$L$26,10,FALSE)</f>
        <v>0</v>
      </c>
      <c r="V91" s="188" cm="1">
        <f t="array" ref="V91">SUMPRODUCT(('Data for SPECIATE'!$C$5:$C$26='PM Protocol'!V$1)*('Data for SPECIATE'!$M$1:$AZ$1='PM Protocol'!$A91)*'Data for SPECIATE'!$M$5:$AZ$26)/VLOOKUP(V$1,'Data for SPECIATE'!$C$5:$L$26,10,FALSE)</f>
        <v>0</v>
      </c>
      <c r="W91" s="188" cm="1">
        <f t="array" ref="W91">SUMPRODUCT(('Data for SPECIATE'!$C$5:$C$26='PM Protocol'!W$1)*('Data for SPECIATE'!$M$1:$AZ$1='PM Protocol'!$A91)*'Data for SPECIATE'!$M$5:$AZ$26)/VLOOKUP(W$1,'Data for SPECIATE'!$C$5:$L$26,10,FALSE)</f>
        <v>0</v>
      </c>
      <c r="X91" s="188" cm="1">
        <f t="array" ref="X91">SUMPRODUCT(('Data for SPECIATE'!$C$5:$C$26='PM Protocol'!X$1)*('Data for SPECIATE'!$M$1:$AZ$1='PM Protocol'!$A91)*'Data for SPECIATE'!$M$5:$AZ$26)/VLOOKUP(X$1,'Data for SPECIATE'!$C$5:$L$26,10,FALSE)</f>
        <v>0</v>
      </c>
      <c r="Y91" s="188" cm="1">
        <f t="array" ref="Y91">SUMPRODUCT(('Data for SPECIATE'!$C$5:$C$26='PM Protocol'!Y$1)*('Data for SPECIATE'!$M$1:$AZ$1='PM Protocol'!$A91)*'Data for SPECIATE'!$M$5:$AZ$26)/VLOOKUP(Y$1,'Data for SPECIATE'!$C$5:$L$26,10,FALSE)</f>
        <v>7.9051546435405909E-6</v>
      </c>
      <c r="Z91" s="188" cm="1">
        <f t="array" ref="Z91">SUMPRODUCT(('Data for SPECIATE'!$C$5:$C$26='PM Protocol'!Z$1)*('Data for SPECIATE'!$M$1:$AZ$1='PM Protocol'!$A91)*'Data for SPECIATE'!$M$5:$AZ$26)/VLOOKUP(Z$1,'Data for SPECIATE'!$C$5:$L$26,10,FALSE)</f>
        <v>0</v>
      </c>
    </row>
    <row r="92" spans="1:26">
      <c r="A92">
        <v>649</v>
      </c>
      <c r="B92" t="str">
        <f>HLOOKUP(A92,'Data for SPECIATE'!$M$1:$AZ$2,2,FALSE)</f>
        <v>XRF</v>
      </c>
      <c r="C92" s="191">
        <f>IFERROR(VLOOKUP(A92,Oxides!$A$2:$G$39,7,FALSE),0)</f>
        <v>0.22600000000000001</v>
      </c>
      <c r="D92" t="s">
        <v>647</v>
      </c>
      <c r="E92" s="188" cm="1">
        <f t="array" ref="E92">SUMPRODUCT(('Data for SPECIATE'!$C$5:$C$26='PM Protocol'!E$1)*('Data for SPECIATE'!$M$1:$AZ$1='PM Protocol'!$A92)*'Data for SPECIATE'!$M$5:$AZ$26)/VLOOKUP(E$1,'Data for SPECIATE'!$C$5:$L$26,10,FALSE)</f>
        <v>0</v>
      </c>
      <c r="F92" s="188" cm="1">
        <f t="array" ref="F92">SUMPRODUCT(('Data for SPECIATE'!$C$5:$C$26='PM Protocol'!F$1)*('Data for SPECIATE'!$M$1:$AZ$1='PM Protocol'!$A92)*'Data for SPECIATE'!$M$5:$AZ$26)/VLOOKUP(F$1,'Data for SPECIATE'!$C$5:$L$26,10,FALSE)</f>
        <v>1.6538475047942349E-5</v>
      </c>
      <c r="G92" s="188" cm="1">
        <f t="array" ref="G92">SUMPRODUCT(('Data for SPECIATE'!$C$5:$C$26='PM Protocol'!G$1)*('Data for SPECIATE'!$M$1:$AZ$1='PM Protocol'!$A92)*'Data for SPECIATE'!$M$5:$AZ$26)/VLOOKUP(G$1,'Data for SPECIATE'!$C$5:$L$26,10,FALSE)</f>
        <v>2.451551384154056E-5</v>
      </c>
      <c r="H92" s="188" cm="1">
        <f t="array" ref="H92">SUMPRODUCT(('Data for SPECIATE'!$C$5:$C$26='PM Protocol'!H$1)*('Data for SPECIATE'!$M$1:$AZ$1='PM Protocol'!$A92)*'Data for SPECIATE'!$M$5:$AZ$26)/VLOOKUP(H$1,'Data for SPECIATE'!$C$5:$L$26,10,FALSE)</f>
        <v>5.9986623732058718E-6</v>
      </c>
      <c r="I92" s="188" cm="1">
        <f t="array" ref="I92">SUMPRODUCT(('Data for SPECIATE'!$C$5:$C$26='PM Protocol'!I$1)*('Data for SPECIATE'!$M$1:$AZ$1='PM Protocol'!$A92)*'Data for SPECIATE'!$M$5:$AZ$26)/VLOOKUP(I$1,'Data for SPECIATE'!$C$5:$L$26,10,FALSE)</f>
        <v>0</v>
      </c>
      <c r="J92" s="188" cm="1">
        <f t="array" ref="J92">SUMPRODUCT(('Data for SPECIATE'!$C$5:$C$26='PM Protocol'!J$1)*('Data for SPECIATE'!$M$1:$AZ$1='PM Protocol'!$A92)*'Data for SPECIATE'!$M$5:$AZ$26)/VLOOKUP(J$1,'Data for SPECIATE'!$C$5:$L$26,10,FALSE)</f>
        <v>1.4333960477965846E-5</v>
      </c>
      <c r="K92" s="188" cm="1">
        <f t="array" ref="K92">SUMPRODUCT(('Data for SPECIATE'!$C$5:$C$26='PM Protocol'!K$1)*('Data for SPECIATE'!$M$1:$AZ$1='PM Protocol'!$A92)*'Data for SPECIATE'!$M$5:$AZ$26)/VLOOKUP(K$1,'Data for SPECIATE'!$C$5:$L$26,10,FALSE)</f>
        <v>4.2245320099414597E-6</v>
      </c>
      <c r="L92" s="188" cm="1">
        <f t="array" ref="L92">SUMPRODUCT(('Data for SPECIATE'!$C$5:$C$26='PM Protocol'!L$1)*('Data for SPECIATE'!$M$1:$AZ$1='PM Protocol'!$A92)*'Data for SPECIATE'!$M$5:$AZ$26)/VLOOKUP(L$1,'Data for SPECIATE'!$C$5:$L$26,10,FALSE)</f>
        <v>0</v>
      </c>
      <c r="M92" s="188" cm="1">
        <f t="array" ref="M92">SUMPRODUCT(('Data for SPECIATE'!$C$5:$C$26='PM Protocol'!M$1)*('Data for SPECIATE'!$M$1:$AZ$1='PM Protocol'!$A92)*'Data for SPECIATE'!$M$5:$AZ$26)/VLOOKUP(M$1,'Data for SPECIATE'!$C$5:$L$26,10,FALSE)</f>
        <v>0</v>
      </c>
      <c r="N92" s="188" cm="1">
        <f t="array" ref="N92">SUMPRODUCT(('Data for SPECIATE'!$C$5:$C$26='PM Protocol'!N$1)*('Data for SPECIATE'!$M$1:$AZ$1='PM Protocol'!$A92)*'Data for SPECIATE'!$M$5:$AZ$26)/VLOOKUP(N$1,'Data for SPECIATE'!$C$5:$L$26,10,FALSE)</f>
        <v>0</v>
      </c>
      <c r="O92" s="188" cm="1">
        <f t="array" ref="O92">SUMPRODUCT(('Data for SPECIATE'!$C$5:$C$26='PM Protocol'!O$1)*('Data for SPECIATE'!$M$1:$AZ$1='PM Protocol'!$A92)*'Data for SPECIATE'!$M$5:$AZ$26)/VLOOKUP(O$1,'Data for SPECIATE'!$C$5:$L$26,10,FALSE)</f>
        <v>1.4955332674916867E-5</v>
      </c>
      <c r="P92" s="188" cm="1">
        <f t="array" ref="P92">SUMPRODUCT(('Data for SPECIATE'!$C$5:$C$26='PM Protocol'!P$1)*('Data for SPECIATE'!$M$1:$AZ$1='PM Protocol'!$A92)*'Data for SPECIATE'!$M$5:$AZ$26)/VLOOKUP(P$1,'Data for SPECIATE'!$C$5:$L$26,10,FALSE)</f>
        <v>2.2175935119673133E-5</v>
      </c>
      <c r="Q92" s="188" cm="1">
        <f t="array" ref="Q92">SUMPRODUCT(('Data for SPECIATE'!$C$5:$C$26='PM Protocol'!Q$1)*('Data for SPECIATE'!$M$1:$AZ$1='PM Protocol'!$A92)*'Data for SPECIATE'!$M$5:$AZ$26)/VLOOKUP(Q$1,'Data for SPECIATE'!$C$5:$L$26,10,FALSE)</f>
        <v>5.9997719413144937E-5</v>
      </c>
      <c r="R92" s="188" cm="1">
        <f t="array" ref="R92">SUMPRODUCT(('Data for SPECIATE'!$C$5:$C$26='PM Protocol'!R$1)*('Data for SPECIATE'!$M$1:$AZ$1='PM Protocol'!$A92)*'Data for SPECIATE'!$M$5:$AZ$26)/SUMPRODUCT(('Data for SPECIATE'!$C$5:$C$26='PM Protocol'!R$1)*'Data for SPECIATE'!$M$5:$AZ$26)</f>
        <v>0</v>
      </c>
      <c r="S92" s="188" cm="1">
        <f t="array" ref="S92">SUMPRODUCT(('Data for SPECIATE'!$C$5:$C$26='PM Protocol'!S$1)*('Data for SPECIATE'!$M$1:$AZ$1='PM Protocol'!$A92)*'Data for SPECIATE'!$M$5:$AZ$26)/VLOOKUP(S$1,'Data for SPECIATE'!$C$5:$L$26,10,FALSE)</f>
        <v>2.4404519290123704E-5</v>
      </c>
      <c r="T92" s="188" cm="1">
        <f t="array" ref="T92">SUMPRODUCT(('Data for SPECIATE'!$C$5:$C$26='PM Protocol'!T$1)*('Data for SPECIATE'!$M$1:$AZ$1='PM Protocol'!$A92)*'Data for SPECIATE'!$M$5:$AZ$26)/VLOOKUP(T$1,'Data for SPECIATE'!$C$5:$L$26,10,FALSE)</f>
        <v>0</v>
      </c>
      <c r="U92" s="188" cm="1">
        <f t="array" ref="U92">SUMPRODUCT(('Data for SPECIATE'!$C$5:$C$26='PM Protocol'!U$1)*('Data for SPECIATE'!$M$1:$AZ$1='PM Protocol'!$A92)*'Data for SPECIATE'!$M$5:$AZ$26)/VLOOKUP(U$1,'Data for SPECIATE'!$C$5:$L$26,10,FALSE)</f>
        <v>1.3357567560026687E-5</v>
      </c>
      <c r="V92" s="188" cm="1">
        <f t="array" ref="V92">SUMPRODUCT(('Data for SPECIATE'!$C$5:$C$26='PM Protocol'!V$1)*('Data for SPECIATE'!$M$1:$AZ$1='PM Protocol'!$A92)*'Data for SPECIATE'!$M$5:$AZ$26)/VLOOKUP(V$1,'Data for SPECIATE'!$C$5:$L$26,10,FALSE)</f>
        <v>0</v>
      </c>
      <c r="W92" s="188" cm="1">
        <f t="array" ref="W92">SUMPRODUCT(('Data for SPECIATE'!$C$5:$C$26='PM Protocol'!W$1)*('Data for SPECIATE'!$M$1:$AZ$1='PM Protocol'!$A92)*'Data for SPECIATE'!$M$5:$AZ$26)/VLOOKUP(W$1,'Data for SPECIATE'!$C$5:$L$26,10,FALSE)</f>
        <v>8.777464237161912E-6</v>
      </c>
      <c r="X92" s="188" cm="1">
        <f t="array" ref="X92">SUMPRODUCT(('Data for SPECIATE'!$C$5:$C$26='PM Protocol'!X$1)*('Data for SPECIATE'!$M$1:$AZ$1='PM Protocol'!$A92)*'Data for SPECIATE'!$M$5:$AZ$26)/VLOOKUP(X$1,'Data for SPECIATE'!$C$5:$L$26,10,FALSE)</f>
        <v>0</v>
      </c>
      <c r="Y92" s="188" cm="1">
        <f t="array" ref="Y92">SUMPRODUCT(('Data for SPECIATE'!$C$5:$C$26='PM Protocol'!Y$1)*('Data for SPECIATE'!$M$1:$AZ$1='PM Protocol'!$A92)*'Data for SPECIATE'!$M$5:$AZ$26)/VLOOKUP(Y$1,'Data for SPECIATE'!$C$5:$L$26,10,FALSE)</f>
        <v>0</v>
      </c>
      <c r="Z92" s="188" cm="1">
        <f t="array" ref="Z92">SUMPRODUCT(('Data for SPECIATE'!$C$5:$C$26='PM Protocol'!Z$1)*('Data for SPECIATE'!$M$1:$AZ$1='PM Protocol'!$A92)*'Data for SPECIATE'!$M$5:$AZ$26)/VLOOKUP(Z$1,'Data for SPECIATE'!$C$5:$L$26,10,FALSE)</f>
        <v>0</v>
      </c>
    </row>
    <row r="93" spans="1:26">
      <c r="A93">
        <v>695</v>
      </c>
      <c r="B93" t="str">
        <f>HLOOKUP(A93,'Data for SPECIATE'!$M$1:$AZ$2,2,FALSE)</f>
        <v>XRF</v>
      </c>
      <c r="C93" s="191">
        <f>IFERROR(VLOOKUP(A93,Oxides!$A$2:$G$39,7,FALSE),0)</f>
        <v>7.3999999999999996E-2</v>
      </c>
      <c r="D93" t="s">
        <v>648</v>
      </c>
      <c r="E93" s="188" cm="1">
        <f t="array" ref="E93">SUMPRODUCT(('Data for SPECIATE'!$C$5:$C$26='PM Protocol'!E$1)*('Data for SPECIATE'!$M$1:$AZ$1='PM Protocol'!$A93)*'Data for SPECIATE'!$M$5:$AZ$26)/VLOOKUP(E$1,'Data for SPECIATE'!$C$5:$L$26,10,FALSE)</f>
        <v>0</v>
      </c>
      <c r="F93" s="188" cm="1">
        <f t="array" ref="F93">SUMPRODUCT(('Data for SPECIATE'!$C$5:$C$26='PM Protocol'!F$1)*('Data for SPECIATE'!$M$1:$AZ$1='PM Protocol'!$A93)*'Data for SPECIATE'!$M$5:$AZ$26)/VLOOKUP(F$1,'Data for SPECIATE'!$C$5:$L$26,10,FALSE)</f>
        <v>1.2979562695853487E-5</v>
      </c>
      <c r="G93" s="188" cm="1">
        <f t="array" ref="G93">SUMPRODUCT(('Data for SPECIATE'!$C$5:$C$26='PM Protocol'!G$1)*('Data for SPECIATE'!$M$1:$AZ$1='PM Protocol'!$A93)*'Data for SPECIATE'!$M$5:$AZ$26)/VLOOKUP(G$1,'Data for SPECIATE'!$C$5:$L$26,10,FALSE)</f>
        <v>6.3150722363968409E-5</v>
      </c>
      <c r="H93" s="188" cm="1">
        <f t="array" ref="H93">SUMPRODUCT(('Data for SPECIATE'!$C$5:$C$26='PM Protocol'!H$1)*('Data for SPECIATE'!$M$1:$AZ$1='PM Protocol'!$A93)*'Data for SPECIATE'!$M$5:$AZ$26)/VLOOKUP(H$1,'Data for SPECIATE'!$C$5:$L$26,10,FALSE)</f>
        <v>0</v>
      </c>
      <c r="I93" s="188" cm="1">
        <f t="array" ref="I93">SUMPRODUCT(('Data for SPECIATE'!$C$5:$C$26='PM Protocol'!I$1)*('Data for SPECIATE'!$M$1:$AZ$1='PM Protocol'!$A93)*'Data for SPECIATE'!$M$5:$AZ$26)/VLOOKUP(I$1,'Data for SPECIATE'!$C$5:$L$26,10,FALSE)</f>
        <v>0</v>
      </c>
      <c r="J93" s="188" cm="1">
        <f t="array" ref="J93">SUMPRODUCT(('Data for SPECIATE'!$C$5:$C$26='PM Protocol'!J$1)*('Data for SPECIATE'!$M$1:$AZ$1='PM Protocol'!$A93)*'Data for SPECIATE'!$M$5:$AZ$26)/VLOOKUP(J$1,'Data for SPECIATE'!$C$5:$L$26,10,FALSE)</f>
        <v>0</v>
      </c>
      <c r="K93" s="188" cm="1">
        <f t="array" ref="K93">SUMPRODUCT(('Data for SPECIATE'!$C$5:$C$26='PM Protocol'!K$1)*('Data for SPECIATE'!$M$1:$AZ$1='PM Protocol'!$A93)*'Data for SPECIATE'!$M$5:$AZ$26)/VLOOKUP(K$1,'Data for SPECIATE'!$C$5:$L$26,10,FALSE)</f>
        <v>0</v>
      </c>
      <c r="L93" s="188" cm="1">
        <f t="array" ref="L93">SUMPRODUCT(('Data for SPECIATE'!$C$5:$C$26='PM Protocol'!L$1)*('Data for SPECIATE'!$M$1:$AZ$1='PM Protocol'!$A93)*'Data for SPECIATE'!$M$5:$AZ$26)/VLOOKUP(L$1,'Data for SPECIATE'!$C$5:$L$26,10,FALSE)</f>
        <v>0</v>
      </c>
      <c r="M93" s="188" cm="1">
        <f t="array" ref="M93">SUMPRODUCT(('Data for SPECIATE'!$C$5:$C$26='PM Protocol'!M$1)*('Data for SPECIATE'!$M$1:$AZ$1='PM Protocol'!$A93)*'Data for SPECIATE'!$M$5:$AZ$26)/VLOOKUP(M$1,'Data for SPECIATE'!$C$5:$L$26,10,FALSE)</f>
        <v>0</v>
      </c>
      <c r="N93" s="188" cm="1">
        <f t="array" ref="N93">SUMPRODUCT(('Data for SPECIATE'!$C$5:$C$26='PM Protocol'!N$1)*('Data for SPECIATE'!$M$1:$AZ$1='PM Protocol'!$A93)*'Data for SPECIATE'!$M$5:$AZ$26)/VLOOKUP(N$1,'Data for SPECIATE'!$C$5:$L$26,10,FALSE)</f>
        <v>6.5084359245359073E-6</v>
      </c>
      <c r="O93" s="188" cm="1">
        <f t="array" ref="O93">SUMPRODUCT(('Data for SPECIATE'!$C$5:$C$26='PM Protocol'!O$1)*('Data for SPECIATE'!$M$1:$AZ$1='PM Protocol'!$A93)*'Data for SPECIATE'!$M$5:$AZ$26)/VLOOKUP(O$1,'Data for SPECIATE'!$C$5:$L$26,10,FALSE)</f>
        <v>1.694937703157245E-5</v>
      </c>
      <c r="P93" s="188" cm="1">
        <f t="array" ref="P93">SUMPRODUCT(('Data for SPECIATE'!$C$5:$C$26='PM Protocol'!P$1)*('Data for SPECIATE'!$M$1:$AZ$1='PM Protocol'!$A93)*'Data for SPECIATE'!$M$5:$AZ$26)/VLOOKUP(P$1,'Data for SPECIATE'!$C$5:$L$26,10,FALSE)</f>
        <v>0</v>
      </c>
      <c r="Q93" s="188" cm="1">
        <f t="array" ref="Q93">SUMPRODUCT(('Data for SPECIATE'!$C$5:$C$26='PM Protocol'!Q$1)*('Data for SPECIATE'!$M$1:$AZ$1='PM Protocol'!$A93)*'Data for SPECIATE'!$M$5:$AZ$26)/VLOOKUP(Q$1,'Data for SPECIATE'!$C$5:$L$26,10,FALSE)</f>
        <v>0</v>
      </c>
      <c r="R93" s="188" cm="1">
        <f t="array" ref="R93">SUMPRODUCT(('Data for SPECIATE'!$C$5:$C$26='PM Protocol'!R$1)*('Data for SPECIATE'!$M$1:$AZ$1='PM Protocol'!$A93)*'Data for SPECIATE'!$M$5:$AZ$26)/SUMPRODUCT(('Data for SPECIATE'!$C$5:$C$26='PM Protocol'!R$1)*'Data for SPECIATE'!$M$5:$AZ$26)</f>
        <v>0</v>
      </c>
      <c r="S93" s="188" cm="1">
        <f t="array" ref="S93">SUMPRODUCT(('Data for SPECIATE'!$C$5:$C$26='PM Protocol'!S$1)*('Data for SPECIATE'!$M$1:$AZ$1='PM Protocol'!$A93)*'Data for SPECIATE'!$M$5:$AZ$26)/VLOOKUP(S$1,'Data for SPECIATE'!$C$5:$L$26,10,FALSE)</f>
        <v>0</v>
      </c>
      <c r="T93" s="188" cm="1">
        <f t="array" ref="T93">SUMPRODUCT(('Data for SPECIATE'!$C$5:$C$26='PM Protocol'!T$1)*('Data for SPECIATE'!$M$1:$AZ$1='PM Protocol'!$A93)*'Data for SPECIATE'!$M$5:$AZ$26)/VLOOKUP(T$1,'Data for SPECIATE'!$C$5:$L$26,10,FALSE)</f>
        <v>1.672715977855588E-4</v>
      </c>
      <c r="U93" s="188" cm="1">
        <f t="array" ref="U93">SUMPRODUCT(('Data for SPECIATE'!$C$5:$C$26='PM Protocol'!U$1)*('Data for SPECIATE'!$M$1:$AZ$1='PM Protocol'!$A93)*'Data for SPECIATE'!$M$5:$AZ$26)/VLOOKUP(U$1,'Data for SPECIATE'!$C$5:$L$26,10,FALSE)</f>
        <v>2.2197134327691404E-5</v>
      </c>
      <c r="V93" s="188" cm="1">
        <f t="array" ref="V93">SUMPRODUCT(('Data for SPECIATE'!$C$5:$C$26='PM Protocol'!V$1)*('Data for SPECIATE'!$M$1:$AZ$1='PM Protocol'!$A93)*'Data for SPECIATE'!$M$5:$AZ$26)/VLOOKUP(V$1,'Data for SPECIATE'!$C$5:$L$26,10,FALSE)</f>
        <v>8.8688504501963116E-5</v>
      </c>
      <c r="W93" s="188" cm="1">
        <f t="array" ref="W93">SUMPRODUCT(('Data for SPECIATE'!$C$5:$C$26='PM Protocol'!W$1)*('Data for SPECIATE'!$M$1:$AZ$1='PM Protocol'!$A93)*'Data for SPECIATE'!$M$5:$AZ$26)/VLOOKUP(W$1,'Data for SPECIATE'!$C$5:$L$26,10,FALSE)</f>
        <v>1.3263723736155776E-5</v>
      </c>
      <c r="X93" s="188" cm="1">
        <f t="array" ref="X93">SUMPRODUCT(('Data for SPECIATE'!$C$5:$C$26='PM Protocol'!X$1)*('Data for SPECIATE'!$M$1:$AZ$1='PM Protocol'!$A93)*'Data for SPECIATE'!$M$5:$AZ$26)/VLOOKUP(X$1,'Data for SPECIATE'!$C$5:$L$26,10,FALSE)</f>
        <v>0</v>
      </c>
      <c r="Y93" s="188" cm="1">
        <f t="array" ref="Y93">SUMPRODUCT(('Data for SPECIATE'!$C$5:$C$26='PM Protocol'!Y$1)*('Data for SPECIATE'!$M$1:$AZ$1='PM Protocol'!$A93)*'Data for SPECIATE'!$M$5:$AZ$26)/VLOOKUP(Y$1,'Data for SPECIATE'!$C$5:$L$26,10,FALSE)</f>
        <v>0</v>
      </c>
      <c r="Z93" s="188" cm="1">
        <f t="array" ref="Z93">SUMPRODUCT(('Data for SPECIATE'!$C$5:$C$26='PM Protocol'!Z$1)*('Data for SPECIATE'!$M$1:$AZ$1='PM Protocol'!$A93)*'Data for SPECIATE'!$M$5:$AZ$26)/VLOOKUP(Z$1,'Data for SPECIATE'!$C$5:$L$26,10,FALSE)</f>
        <v>0</v>
      </c>
    </row>
    <row r="94" spans="1:26">
      <c r="A94">
        <v>328</v>
      </c>
      <c r="B94" t="str">
        <f>HLOOKUP(A94,'Data for SPECIATE'!$M$1:$AZ$2,2,FALSE)</f>
        <v>XRF</v>
      </c>
      <c r="C94" s="191">
        <f>IFERROR(VLOOKUP(A94,Oxides!$A$2:$G$39,7,FALSE),0)</f>
        <v>0.14199999999999999</v>
      </c>
      <c r="D94" t="s">
        <v>649</v>
      </c>
      <c r="E94" s="188" cm="1">
        <f t="array" ref="E94">SUMPRODUCT(('Data for SPECIATE'!$C$5:$C$26='PM Protocol'!E$1)*('Data for SPECIATE'!$M$1:$AZ$1='PM Protocol'!$A94)*'Data for SPECIATE'!$M$5:$AZ$26)/VLOOKUP(E$1,'Data for SPECIATE'!$C$5:$L$26,10,FALSE)</f>
        <v>8.7359346976751125E-5</v>
      </c>
      <c r="F94" s="188" cm="1">
        <f t="array" ref="F94">SUMPRODUCT(('Data for SPECIATE'!$C$5:$C$26='PM Protocol'!F$1)*('Data for SPECIATE'!$M$1:$AZ$1='PM Protocol'!$A94)*'Data for SPECIATE'!$M$5:$AZ$26)/VLOOKUP(F$1,'Data for SPECIATE'!$C$5:$L$26,10,FALSE)</f>
        <v>0</v>
      </c>
      <c r="G94" s="188" cm="1">
        <f t="array" ref="G94">SUMPRODUCT(('Data for SPECIATE'!$C$5:$C$26='PM Protocol'!G$1)*('Data for SPECIATE'!$M$1:$AZ$1='PM Protocol'!$A94)*'Data for SPECIATE'!$M$5:$AZ$26)/VLOOKUP(G$1,'Data for SPECIATE'!$C$5:$L$26,10,FALSE)</f>
        <v>0</v>
      </c>
      <c r="H94" s="188" cm="1">
        <f t="array" ref="H94">SUMPRODUCT(('Data for SPECIATE'!$C$5:$C$26='PM Protocol'!H$1)*('Data for SPECIATE'!$M$1:$AZ$1='PM Protocol'!$A94)*'Data for SPECIATE'!$M$5:$AZ$26)/VLOOKUP(H$1,'Data for SPECIATE'!$C$5:$L$26,10,FALSE)</f>
        <v>5.0895717892147333E-5</v>
      </c>
      <c r="I94" s="188" cm="1">
        <f t="array" ref="I94">SUMPRODUCT(('Data for SPECIATE'!$C$5:$C$26='PM Protocol'!I$1)*('Data for SPECIATE'!$M$1:$AZ$1='PM Protocol'!$A94)*'Data for SPECIATE'!$M$5:$AZ$26)/VLOOKUP(I$1,'Data for SPECIATE'!$C$5:$L$26,10,FALSE)</f>
        <v>6.3280482224710606E-5</v>
      </c>
      <c r="J94" s="188" cm="1">
        <f t="array" ref="J94">SUMPRODUCT(('Data for SPECIATE'!$C$5:$C$26='PM Protocol'!J$1)*('Data for SPECIATE'!$M$1:$AZ$1='PM Protocol'!$A94)*'Data for SPECIATE'!$M$5:$AZ$26)/VLOOKUP(J$1,'Data for SPECIATE'!$C$5:$L$26,10,FALSE)</f>
        <v>4.505932079884947E-5</v>
      </c>
      <c r="K94" s="188" cm="1">
        <f t="array" ref="K94">SUMPRODUCT(('Data for SPECIATE'!$C$5:$C$26='PM Protocol'!K$1)*('Data for SPECIATE'!$M$1:$AZ$1='PM Protocol'!$A94)*'Data for SPECIATE'!$M$5:$AZ$26)/VLOOKUP(K$1,'Data for SPECIATE'!$C$5:$L$26,10,FALSE)</f>
        <v>1.8513612895935115E-5</v>
      </c>
      <c r="L94" s="188" cm="1">
        <f t="array" ref="L94">SUMPRODUCT(('Data for SPECIATE'!$C$5:$C$26='PM Protocol'!L$1)*('Data for SPECIATE'!$M$1:$AZ$1='PM Protocol'!$A94)*'Data for SPECIATE'!$M$5:$AZ$26)/VLOOKUP(L$1,'Data for SPECIATE'!$C$5:$L$26,10,FALSE)</f>
        <v>2.9852286174267695E-5</v>
      </c>
      <c r="M94" s="188" cm="1">
        <f t="array" ref="M94">SUMPRODUCT(('Data for SPECIATE'!$C$5:$C$26='PM Protocol'!M$1)*('Data for SPECIATE'!$M$1:$AZ$1='PM Protocol'!$A94)*'Data for SPECIATE'!$M$5:$AZ$26)/VLOOKUP(M$1,'Data for SPECIATE'!$C$5:$L$26,10,FALSE)</f>
        <v>5.4575520557516226E-5</v>
      </c>
      <c r="N94" s="188" cm="1">
        <f t="array" ref="N94">SUMPRODUCT(('Data for SPECIATE'!$C$5:$C$26='PM Protocol'!N$1)*('Data for SPECIATE'!$M$1:$AZ$1='PM Protocol'!$A94)*'Data for SPECIATE'!$M$5:$AZ$26)/VLOOKUP(N$1,'Data for SPECIATE'!$C$5:$L$26,10,FALSE)</f>
        <v>0</v>
      </c>
      <c r="O94" s="188" cm="1">
        <f t="array" ref="O94">SUMPRODUCT(('Data for SPECIATE'!$C$5:$C$26='PM Protocol'!O$1)*('Data for SPECIATE'!$M$1:$AZ$1='PM Protocol'!$A94)*'Data for SPECIATE'!$M$5:$AZ$26)/VLOOKUP(O$1,'Data for SPECIATE'!$C$5:$L$26,10,FALSE)</f>
        <v>0</v>
      </c>
      <c r="P94" s="188" cm="1">
        <f t="array" ref="P94">SUMPRODUCT(('Data for SPECIATE'!$C$5:$C$26='PM Protocol'!P$1)*('Data for SPECIATE'!$M$1:$AZ$1='PM Protocol'!$A94)*'Data for SPECIATE'!$M$5:$AZ$26)/VLOOKUP(P$1,'Data for SPECIATE'!$C$5:$L$26,10,FALSE)</f>
        <v>9.1567702346879148E-6</v>
      </c>
      <c r="Q94" s="188" cm="1">
        <f t="array" ref="Q94">SUMPRODUCT(('Data for SPECIATE'!$C$5:$C$26='PM Protocol'!Q$1)*('Data for SPECIATE'!$M$1:$AZ$1='PM Protocol'!$A94)*'Data for SPECIATE'!$M$5:$AZ$26)/VLOOKUP(Q$1,'Data for SPECIATE'!$C$5:$L$26,10,FALSE)</f>
        <v>1.4700753733163884E-4</v>
      </c>
      <c r="R94" s="188" cm="1">
        <f t="array" ref="R94">SUMPRODUCT(('Data for SPECIATE'!$C$5:$C$26='PM Protocol'!R$1)*('Data for SPECIATE'!$M$1:$AZ$1='PM Protocol'!$A94)*'Data for SPECIATE'!$M$5:$AZ$26)/SUMPRODUCT(('Data for SPECIATE'!$C$5:$C$26='PM Protocol'!R$1)*'Data for SPECIATE'!$M$5:$AZ$26)</f>
        <v>1.4400695289750595E-4</v>
      </c>
      <c r="S94" s="188" cm="1">
        <f t="array" ref="S94">SUMPRODUCT(('Data for SPECIATE'!$C$5:$C$26='PM Protocol'!S$1)*('Data for SPECIATE'!$M$1:$AZ$1='PM Protocol'!$A94)*'Data for SPECIATE'!$M$5:$AZ$26)/VLOOKUP(S$1,'Data for SPECIATE'!$C$5:$L$26,10,FALSE)</f>
        <v>0</v>
      </c>
      <c r="T94" s="188" cm="1">
        <f t="array" ref="T94">SUMPRODUCT(('Data for SPECIATE'!$C$5:$C$26='PM Protocol'!T$1)*('Data for SPECIATE'!$M$1:$AZ$1='PM Protocol'!$A94)*'Data for SPECIATE'!$M$5:$AZ$26)/VLOOKUP(T$1,'Data for SPECIATE'!$C$5:$L$26,10,FALSE)</f>
        <v>2.813552365813543E-5</v>
      </c>
      <c r="U94" s="188" cm="1">
        <f t="array" ref="U94">SUMPRODUCT(('Data for SPECIATE'!$C$5:$C$26='PM Protocol'!U$1)*('Data for SPECIATE'!$M$1:$AZ$1='PM Protocol'!$A94)*'Data for SPECIATE'!$M$5:$AZ$26)/VLOOKUP(U$1,'Data for SPECIATE'!$C$5:$L$26,10,FALSE)</f>
        <v>1.7097346842610662E-5</v>
      </c>
      <c r="V94" s="188" cm="1">
        <f t="array" ref="V94">SUMPRODUCT(('Data for SPECIATE'!$C$5:$C$26='PM Protocol'!V$1)*('Data for SPECIATE'!$M$1:$AZ$1='PM Protocol'!$A94)*'Data for SPECIATE'!$M$5:$AZ$26)/VLOOKUP(V$1,'Data for SPECIATE'!$C$5:$L$26,10,FALSE)</f>
        <v>1.2442479128361709E-4</v>
      </c>
      <c r="W94" s="188" cm="1">
        <f t="array" ref="W94">SUMPRODUCT(('Data for SPECIATE'!$C$5:$C$26='PM Protocol'!W$1)*('Data for SPECIATE'!$M$1:$AZ$1='PM Protocol'!$A94)*'Data for SPECIATE'!$M$5:$AZ$26)/VLOOKUP(W$1,'Data for SPECIATE'!$C$5:$L$26,10,FALSE)</f>
        <v>0</v>
      </c>
      <c r="X94" s="188" cm="1">
        <f t="array" ref="X94">SUMPRODUCT(('Data for SPECIATE'!$C$5:$C$26='PM Protocol'!X$1)*('Data for SPECIATE'!$M$1:$AZ$1='PM Protocol'!$A94)*'Data for SPECIATE'!$M$5:$AZ$26)/VLOOKUP(X$1,'Data for SPECIATE'!$C$5:$L$26,10,FALSE)</f>
        <v>0</v>
      </c>
      <c r="Y94" s="188" cm="1">
        <f t="array" ref="Y94">SUMPRODUCT(('Data for SPECIATE'!$C$5:$C$26='PM Protocol'!Y$1)*('Data for SPECIATE'!$M$1:$AZ$1='PM Protocol'!$A94)*'Data for SPECIATE'!$M$5:$AZ$26)/VLOOKUP(Y$1,'Data for SPECIATE'!$C$5:$L$26,10,FALSE)</f>
        <v>2.6592353232758104E-4</v>
      </c>
      <c r="Z94" s="188" cm="1">
        <f t="array" ref="Z94">SUMPRODUCT(('Data for SPECIATE'!$C$5:$C$26='PM Protocol'!Z$1)*('Data for SPECIATE'!$M$1:$AZ$1='PM Protocol'!$A94)*'Data for SPECIATE'!$M$5:$AZ$26)/VLOOKUP(Z$1,'Data for SPECIATE'!$C$5:$L$26,10,FALSE)</f>
        <v>0</v>
      </c>
    </row>
    <row r="95" spans="1:26">
      <c r="A95">
        <v>487</v>
      </c>
      <c r="B95" t="str">
        <f>HLOOKUP(A95,'Data for SPECIATE'!$M$1:$AZ$2,2,FALSE)</f>
        <v>XRF</v>
      </c>
      <c r="C95" s="191">
        <f>IFERROR(VLOOKUP(A95,Oxides!$A$2:$G$39,7,FALSE),0)</f>
        <v>0.20899999999999999</v>
      </c>
      <c r="D95" t="s">
        <v>650</v>
      </c>
      <c r="E95" s="188" cm="1">
        <f t="array" ref="E95">SUMPRODUCT(('Data for SPECIATE'!$C$5:$C$26='PM Protocol'!E$1)*('Data for SPECIATE'!$M$1:$AZ$1='PM Protocol'!$A95)*'Data for SPECIATE'!$M$5:$AZ$26)/VLOOKUP(E$1,'Data for SPECIATE'!$C$5:$L$26,10,FALSE)</f>
        <v>0</v>
      </c>
      <c r="F95" s="188" cm="1">
        <f t="array" ref="F95">SUMPRODUCT(('Data for SPECIATE'!$C$5:$C$26='PM Protocol'!F$1)*('Data for SPECIATE'!$M$1:$AZ$1='PM Protocol'!$A95)*'Data for SPECIATE'!$M$5:$AZ$26)/VLOOKUP(F$1,'Data for SPECIATE'!$C$5:$L$26,10,FALSE)</f>
        <v>1.1587399922830494E-4</v>
      </c>
      <c r="G95" s="188" cm="1">
        <f t="array" ref="G95">SUMPRODUCT(('Data for SPECIATE'!$C$5:$C$26='PM Protocol'!G$1)*('Data for SPECIATE'!$M$1:$AZ$1='PM Protocol'!$A95)*'Data for SPECIATE'!$M$5:$AZ$26)/VLOOKUP(G$1,'Data for SPECIATE'!$C$5:$L$26,10,FALSE)</f>
        <v>3.8635208522427832E-5</v>
      </c>
      <c r="H95" s="188" cm="1">
        <f t="array" ref="H95">SUMPRODUCT(('Data for SPECIATE'!$C$5:$C$26='PM Protocol'!H$1)*('Data for SPECIATE'!$M$1:$AZ$1='PM Protocol'!$A95)*'Data for SPECIATE'!$M$5:$AZ$26)/VLOOKUP(H$1,'Data for SPECIATE'!$C$5:$L$26,10,FALSE)</f>
        <v>0</v>
      </c>
      <c r="I95" s="188" cm="1">
        <f t="array" ref="I95">SUMPRODUCT(('Data for SPECIATE'!$C$5:$C$26='PM Protocol'!I$1)*('Data for SPECIATE'!$M$1:$AZ$1='PM Protocol'!$A95)*'Data for SPECIATE'!$M$5:$AZ$26)/VLOOKUP(I$1,'Data for SPECIATE'!$C$5:$L$26,10,FALSE)</f>
        <v>0</v>
      </c>
      <c r="J95" s="188" cm="1">
        <f t="array" ref="J95">SUMPRODUCT(('Data for SPECIATE'!$C$5:$C$26='PM Protocol'!J$1)*('Data for SPECIATE'!$M$1:$AZ$1='PM Protocol'!$A95)*'Data for SPECIATE'!$M$5:$AZ$26)/VLOOKUP(J$1,'Data for SPECIATE'!$C$5:$L$26,10,FALSE)</f>
        <v>1.0379764484044232E-5</v>
      </c>
      <c r="K95" s="188" cm="1">
        <f t="array" ref="K95">SUMPRODUCT(('Data for SPECIATE'!$C$5:$C$26='PM Protocol'!K$1)*('Data for SPECIATE'!$M$1:$AZ$1='PM Protocol'!$A95)*'Data for SPECIATE'!$M$5:$AZ$26)/VLOOKUP(K$1,'Data for SPECIATE'!$C$5:$L$26,10,FALSE)</f>
        <v>0</v>
      </c>
      <c r="L95" s="188" cm="1">
        <f t="array" ref="L95">SUMPRODUCT(('Data for SPECIATE'!$C$5:$C$26='PM Protocol'!L$1)*('Data for SPECIATE'!$M$1:$AZ$1='PM Protocol'!$A95)*'Data for SPECIATE'!$M$5:$AZ$26)/VLOOKUP(L$1,'Data for SPECIATE'!$C$5:$L$26,10,FALSE)</f>
        <v>1.1272278036531364E-4</v>
      </c>
      <c r="M95" s="188" cm="1">
        <f t="array" ref="M95">SUMPRODUCT(('Data for SPECIATE'!$C$5:$C$26='PM Protocol'!M$1)*('Data for SPECIATE'!$M$1:$AZ$1='PM Protocol'!$A95)*'Data for SPECIATE'!$M$5:$AZ$26)/VLOOKUP(M$1,'Data for SPECIATE'!$C$5:$L$26,10,FALSE)</f>
        <v>1.0809206003892294E-4</v>
      </c>
      <c r="N95" s="188" cm="1">
        <f t="array" ref="N95">SUMPRODUCT(('Data for SPECIATE'!$C$5:$C$26='PM Protocol'!N$1)*('Data for SPECIATE'!$M$1:$AZ$1='PM Protocol'!$A95)*'Data for SPECIATE'!$M$5:$AZ$26)/VLOOKUP(N$1,'Data for SPECIATE'!$C$5:$L$26,10,FALSE)</f>
        <v>0</v>
      </c>
      <c r="O95" s="188" cm="1">
        <f t="array" ref="O95">SUMPRODUCT(('Data for SPECIATE'!$C$5:$C$26='PM Protocol'!O$1)*('Data for SPECIATE'!$M$1:$AZ$1='PM Protocol'!$A95)*'Data for SPECIATE'!$M$5:$AZ$26)/VLOOKUP(O$1,'Data for SPECIATE'!$C$5:$L$26,10,FALSE)</f>
        <v>0</v>
      </c>
      <c r="P95" s="188" cm="1">
        <f t="array" ref="P95">SUMPRODUCT(('Data for SPECIATE'!$C$5:$C$26='PM Protocol'!P$1)*('Data for SPECIATE'!$M$1:$AZ$1='PM Protocol'!$A95)*'Data for SPECIATE'!$M$5:$AZ$26)/VLOOKUP(P$1,'Data for SPECIATE'!$C$5:$L$26,10,FALSE)</f>
        <v>0</v>
      </c>
      <c r="Q95" s="188" cm="1">
        <f t="array" ref="Q95">SUMPRODUCT(('Data for SPECIATE'!$C$5:$C$26='PM Protocol'!Q$1)*('Data for SPECIATE'!$M$1:$AZ$1='PM Protocol'!$A95)*'Data for SPECIATE'!$M$5:$AZ$26)/VLOOKUP(Q$1,'Data for SPECIATE'!$C$5:$L$26,10,FALSE)</f>
        <v>0</v>
      </c>
      <c r="R95" s="188" cm="1">
        <f t="array" ref="R95">SUMPRODUCT(('Data for SPECIATE'!$C$5:$C$26='PM Protocol'!R$1)*('Data for SPECIATE'!$M$1:$AZ$1='PM Protocol'!$A95)*'Data for SPECIATE'!$M$5:$AZ$26)/SUMPRODUCT(('Data for SPECIATE'!$C$5:$C$26='PM Protocol'!R$1)*'Data for SPECIATE'!$M$5:$AZ$26)</f>
        <v>0</v>
      </c>
      <c r="S95" s="188" cm="1">
        <f t="array" ref="S95">SUMPRODUCT(('Data for SPECIATE'!$C$5:$C$26='PM Protocol'!S$1)*('Data for SPECIATE'!$M$1:$AZ$1='PM Protocol'!$A95)*'Data for SPECIATE'!$M$5:$AZ$26)/VLOOKUP(S$1,'Data for SPECIATE'!$C$5:$L$26,10,FALSE)</f>
        <v>0</v>
      </c>
      <c r="T95" s="188" cm="1">
        <f t="array" ref="T95">SUMPRODUCT(('Data for SPECIATE'!$C$5:$C$26='PM Protocol'!T$1)*('Data for SPECIATE'!$M$1:$AZ$1='PM Protocol'!$A95)*'Data for SPECIATE'!$M$5:$AZ$26)/VLOOKUP(T$1,'Data for SPECIATE'!$C$5:$L$26,10,FALSE)</f>
        <v>0</v>
      </c>
      <c r="U95" s="188" cm="1">
        <f t="array" ref="U95">SUMPRODUCT(('Data for SPECIATE'!$C$5:$C$26='PM Protocol'!U$1)*('Data for SPECIATE'!$M$1:$AZ$1='PM Protocol'!$A95)*'Data for SPECIATE'!$M$5:$AZ$26)/VLOOKUP(U$1,'Data for SPECIATE'!$C$5:$L$26,10,FALSE)</f>
        <v>6.9930794873080906E-5</v>
      </c>
      <c r="V95" s="188" cm="1">
        <f t="array" ref="V95">SUMPRODUCT(('Data for SPECIATE'!$C$5:$C$26='PM Protocol'!V$1)*('Data for SPECIATE'!$M$1:$AZ$1='PM Protocol'!$A95)*'Data for SPECIATE'!$M$5:$AZ$26)/VLOOKUP(V$1,'Data for SPECIATE'!$C$5:$L$26,10,FALSE)</f>
        <v>0</v>
      </c>
      <c r="W95" s="188" cm="1">
        <f t="array" ref="W95">SUMPRODUCT(('Data for SPECIATE'!$C$5:$C$26='PM Protocol'!W$1)*('Data for SPECIATE'!$M$1:$AZ$1='PM Protocol'!$A95)*'Data for SPECIATE'!$M$5:$AZ$26)/VLOOKUP(W$1,'Data for SPECIATE'!$C$5:$L$26,10,FALSE)</f>
        <v>1.675520395493796E-4</v>
      </c>
      <c r="X95" s="188" cm="1">
        <f t="array" ref="X95">SUMPRODUCT(('Data for SPECIATE'!$C$5:$C$26='PM Protocol'!X$1)*('Data for SPECIATE'!$M$1:$AZ$1='PM Protocol'!$A95)*'Data for SPECIATE'!$M$5:$AZ$26)/VLOOKUP(X$1,'Data for SPECIATE'!$C$5:$L$26,10,FALSE)</f>
        <v>9.2907343580900692E-5</v>
      </c>
      <c r="Y95" s="188" cm="1">
        <f t="array" ref="Y95">SUMPRODUCT(('Data for SPECIATE'!$C$5:$C$26='PM Protocol'!Y$1)*('Data for SPECIATE'!$M$1:$AZ$1='PM Protocol'!$A95)*'Data for SPECIATE'!$M$5:$AZ$26)/VLOOKUP(Y$1,'Data for SPECIATE'!$C$5:$L$26,10,FALSE)</f>
        <v>4.2256644821835157E-4</v>
      </c>
      <c r="Z95" s="188" cm="1">
        <f t="array" ref="Z95">SUMPRODUCT(('Data for SPECIATE'!$C$5:$C$26='PM Protocol'!Z$1)*('Data for SPECIATE'!$M$1:$AZ$1='PM Protocol'!$A95)*'Data for SPECIATE'!$M$5:$AZ$26)/VLOOKUP(Z$1,'Data for SPECIATE'!$C$5:$L$26,10,FALSE)</f>
        <v>0</v>
      </c>
    </row>
    <row r="96" spans="1:26">
      <c r="A96">
        <v>714</v>
      </c>
      <c r="B96" t="str">
        <f>HLOOKUP(A96,'Data for SPECIATE'!$M$1:$AZ$2,2,FALSE)</f>
        <v>XRF</v>
      </c>
      <c r="C96" s="191">
        <f>IFERROR(VLOOKUP(A96,Oxides!$A$2:$G$39,7,FALSE),0)</f>
        <v>0.20200000000000001</v>
      </c>
      <c r="D96" t="s">
        <v>651</v>
      </c>
      <c r="E96" s="188" cm="1">
        <f t="array" ref="E96">SUMPRODUCT(('Data for SPECIATE'!$C$5:$C$26='PM Protocol'!E$1)*('Data for SPECIATE'!$M$1:$AZ$1='PM Protocol'!$A96)*'Data for SPECIATE'!$M$5:$AZ$26)/VLOOKUP(E$1,'Data for SPECIATE'!$C$5:$L$26,10,FALSE)</f>
        <v>4.8673403831785841E-5</v>
      </c>
      <c r="F96" s="188" cm="1">
        <f t="array" ref="F96">SUMPRODUCT(('Data for SPECIATE'!$C$5:$C$26='PM Protocol'!F$1)*('Data for SPECIATE'!$M$1:$AZ$1='PM Protocol'!$A96)*'Data for SPECIATE'!$M$5:$AZ$26)/VLOOKUP(F$1,'Data for SPECIATE'!$C$5:$L$26,10,FALSE)</f>
        <v>0</v>
      </c>
      <c r="G96" s="188" cm="1">
        <f t="array" ref="G96">SUMPRODUCT(('Data for SPECIATE'!$C$5:$C$26='PM Protocol'!G$1)*('Data for SPECIATE'!$M$1:$AZ$1='PM Protocol'!$A96)*'Data for SPECIATE'!$M$5:$AZ$26)/VLOOKUP(G$1,'Data for SPECIATE'!$C$5:$L$26,10,FALSE)</f>
        <v>0</v>
      </c>
      <c r="H96" s="188" cm="1">
        <f t="array" ref="H96">SUMPRODUCT(('Data for SPECIATE'!$C$5:$C$26='PM Protocol'!H$1)*('Data for SPECIATE'!$M$1:$AZ$1='PM Protocol'!$A96)*'Data for SPECIATE'!$M$5:$AZ$26)/VLOOKUP(H$1,'Data for SPECIATE'!$C$5:$L$26,10,FALSE)</f>
        <v>0</v>
      </c>
      <c r="I96" s="188" cm="1">
        <f t="array" ref="I96">SUMPRODUCT(('Data for SPECIATE'!$C$5:$C$26='PM Protocol'!I$1)*('Data for SPECIATE'!$M$1:$AZ$1='PM Protocol'!$A96)*'Data for SPECIATE'!$M$5:$AZ$26)/VLOOKUP(I$1,'Data for SPECIATE'!$C$5:$L$26,10,FALSE)</f>
        <v>1.0794961583738732E-4</v>
      </c>
      <c r="J96" s="188" cm="1">
        <f t="array" ref="J96">SUMPRODUCT(('Data for SPECIATE'!$C$5:$C$26='PM Protocol'!J$1)*('Data for SPECIATE'!$M$1:$AZ$1='PM Protocol'!$A96)*'Data for SPECIATE'!$M$5:$AZ$26)/VLOOKUP(J$1,'Data for SPECIATE'!$C$5:$L$26,10,FALSE)</f>
        <v>9.6030474138096298E-6</v>
      </c>
      <c r="K96" s="188" cm="1">
        <f t="array" ref="K96">SUMPRODUCT(('Data for SPECIATE'!$C$5:$C$26='PM Protocol'!K$1)*('Data for SPECIATE'!$M$1:$AZ$1='PM Protocol'!$A96)*'Data for SPECIATE'!$M$5:$AZ$26)/VLOOKUP(K$1,'Data for SPECIATE'!$C$5:$L$26,10,FALSE)</f>
        <v>0</v>
      </c>
      <c r="L96" s="188" cm="1">
        <f t="array" ref="L96">SUMPRODUCT(('Data for SPECIATE'!$C$5:$C$26='PM Protocol'!L$1)*('Data for SPECIATE'!$M$1:$AZ$1='PM Protocol'!$A96)*'Data for SPECIATE'!$M$5:$AZ$26)/VLOOKUP(L$1,'Data for SPECIATE'!$C$5:$L$26,10,FALSE)</f>
        <v>0</v>
      </c>
      <c r="M96" s="188" cm="1">
        <f t="array" ref="M96">SUMPRODUCT(('Data for SPECIATE'!$C$5:$C$26='PM Protocol'!M$1)*('Data for SPECIATE'!$M$1:$AZ$1='PM Protocol'!$A96)*'Data for SPECIATE'!$M$5:$AZ$26)/VLOOKUP(M$1,'Data for SPECIATE'!$C$5:$L$26,10,FALSE)</f>
        <v>3.0247983879204769E-5</v>
      </c>
      <c r="N96" s="188" cm="1">
        <f t="array" ref="N96">SUMPRODUCT(('Data for SPECIATE'!$C$5:$C$26='PM Protocol'!N$1)*('Data for SPECIATE'!$M$1:$AZ$1='PM Protocol'!$A96)*'Data for SPECIATE'!$M$5:$AZ$26)/VLOOKUP(N$1,'Data for SPECIATE'!$C$5:$L$26,10,FALSE)</f>
        <v>4.0589556061391418E-5</v>
      </c>
      <c r="O96" s="188" cm="1">
        <f t="array" ref="O96">SUMPRODUCT(('Data for SPECIATE'!$C$5:$C$26='PM Protocol'!O$1)*('Data for SPECIATE'!$M$1:$AZ$1='PM Protocol'!$A96)*'Data for SPECIATE'!$M$5:$AZ$26)/VLOOKUP(O$1,'Data for SPECIATE'!$C$5:$L$26,10,FALSE)</f>
        <v>0</v>
      </c>
      <c r="P96" s="188" cm="1">
        <f t="array" ref="P96">SUMPRODUCT(('Data for SPECIATE'!$C$5:$C$26='PM Protocol'!P$1)*('Data for SPECIATE'!$M$1:$AZ$1='PM Protocol'!$A96)*'Data for SPECIATE'!$M$5:$AZ$26)/VLOOKUP(P$1,'Data for SPECIATE'!$C$5:$L$26,10,FALSE)</f>
        <v>0</v>
      </c>
      <c r="Q96" s="188" cm="1">
        <f t="array" ref="Q96">SUMPRODUCT(('Data for SPECIATE'!$C$5:$C$26='PM Protocol'!Q$1)*('Data for SPECIATE'!$M$1:$AZ$1='PM Protocol'!$A96)*'Data for SPECIATE'!$M$5:$AZ$26)/VLOOKUP(Q$1,'Data for SPECIATE'!$C$5:$L$26,10,FALSE)</f>
        <v>6.7218683873488034E-4</v>
      </c>
      <c r="R96" s="188" cm="1">
        <f t="array" ref="R96">SUMPRODUCT(('Data for SPECIATE'!$C$5:$C$26='PM Protocol'!R$1)*('Data for SPECIATE'!$M$1:$AZ$1='PM Protocol'!$A96)*'Data for SPECIATE'!$M$5:$AZ$26)/SUMPRODUCT(('Data for SPECIATE'!$C$5:$C$26='PM Protocol'!R$1)*'Data for SPECIATE'!$M$5:$AZ$26)</f>
        <v>3.0214341735930667E-4</v>
      </c>
      <c r="S96" s="188" cm="1">
        <f t="array" ref="S96">SUMPRODUCT(('Data for SPECIATE'!$C$5:$C$26='PM Protocol'!S$1)*('Data for SPECIATE'!$M$1:$AZ$1='PM Protocol'!$A96)*'Data for SPECIATE'!$M$5:$AZ$26)/VLOOKUP(S$1,'Data for SPECIATE'!$C$5:$L$26,10,FALSE)</f>
        <v>0</v>
      </c>
      <c r="T96" s="188" cm="1">
        <f t="array" ref="T96">SUMPRODUCT(('Data for SPECIATE'!$C$5:$C$26='PM Protocol'!T$1)*('Data for SPECIATE'!$M$1:$AZ$1='PM Protocol'!$A96)*'Data for SPECIATE'!$M$5:$AZ$26)/VLOOKUP(T$1,'Data for SPECIATE'!$C$5:$L$26,10,FALSE)</f>
        <v>0</v>
      </c>
      <c r="U96" s="188" cm="1">
        <f t="array" ref="U96">SUMPRODUCT(('Data for SPECIATE'!$C$5:$C$26='PM Protocol'!U$1)*('Data for SPECIATE'!$M$1:$AZ$1='PM Protocol'!$A96)*'Data for SPECIATE'!$M$5:$AZ$26)/VLOOKUP(U$1,'Data for SPECIATE'!$C$5:$L$26,10,FALSE)</f>
        <v>1.0214610487079234E-4</v>
      </c>
      <c r="V96" s="188" cm="1">
        <f t="array" ref="V96">SUMPRODUCT(('Data for SPECIATE'!$C$5:$C$26='PM Protocol'!V$1)*('Data for SPECIATE'!$M$1:$AZ$1='PM Protocol'!$A96)*'Data for SPECIATE'!$M$5:$AZ$26)/VLOOKUP(V$1,'Data for SPECIATE'!$C$5:$L$26,10,FALSE)</f>
        <v>1.0878540699994489E-4</v>
      </c>
      <c r="W96" s="188" cm="1">
        <f t="array" ref="W96">SUMPRODUCT(('Data for SPECIATE'!$C$5:$C$26='PM Protocol'!W$1)*('Data for SPECIATE'!$M$1:$AZ$1='PM Protocol'!$A96)*'Data for SPECIATE'!$M$5:$AZ$26)/VLOOKUP(W$1,'Data for SPECIATE'!$C$5:$L$26,10,FALSE)</f>
        <v>0</v>
      </c>
      <c r="X96" s="188" cm="1">
        <f t="array" ref="X96">SUMPRODUCT(('Data for SPECIATE'!$C$5:$C$26='PM Protocol'!X$1)*('Data for SPECIATE'!$M$1:$AZ$1='PM Protocol'!$A96)*'Data for SPECIATE'!$M$5:$AZ$26)/VLOOKUP(X$1,'Data for SPECIATE'!$C$5:$L$26,10,FALSE)</f>
        <v>0</v>
      </c>
      <c r="Y96" s="188" cm="1">
        <f t="array" ref="Y96">SUMPRODUCT(('Data for SPECIATE'!$C$5:$C$26='PM Protocol'!Y$1)*('Data for SPECIATE'!$M$1:$AZ$1='PM Protocol'!$A96)*'Data for SPECIATE'!$M$5:$AZ$26)/VLOOKUP(Y$1,'Data for SPECIATE'!$C$5:$L$26,10,FALSE)</f>
        <v>0</v>
      </c>
      <c r="Z96" s="188" cm="1">
        <f t="array" ref="Z96">SUMPRODUCT(('Data for SPECIATE'!$C$5:$C$26='PM Protocol'!Z$1)*('Data for SPECIATE'!$M$1:$AZ$1='PM Protocol'!$A96)*'Data for SPECIATE'!$M$5:$AZ$26)/VLOOKUP(Z$1,'Data for SPECIATE'!$C$5:$L$26,10,FALSE)</f>
        <v>0</v>
      </c>
    </row>
    <row r="97" spans="1:26">
      <c r="A97">
        <v>296</v>
      </c>
      <c r="B97" t="str">
        <f>HLOOKUP(A97,'Data for SPECIATE'!$M$1:$AZ$2,2,FALSE)</f>
        <v>XRF</v>
      </c>
      <c r="C97" s="191">
        <f>IFERROR(VLOOKUP(A97,Oxides!$A$2:$G$39,7,FALSE),0)</f>
        <v>0.26300000000000001</v>
      </c>
      <c r="D97" t="s">
        <v>652</v>
      </c>
      <c r="E97" s="188" cm="1">
        <f t="array" ref="E97">SUMPRODUCT(('Data for SPECIATE'!$C$5:$C$26='PM Protocol'!E$1)*('Data for SPECIATE'!$M$1:$AZ$1='PM Protocol'!$A97)*'Data for SPECIATE'!$M$5:$AZ$26)/VLOOKUP(E$1,'Data for SPECIATE'!$C$5:$L$26,10,FALSE)</f>
        <v>0</v>
      </c>
      <c r="F97" s="188" cm="1">
        <f t="array" ref="F97">SUMPRODUCT(('Data for SPECIATE'!$C$5:$C$26='PM Protocol'!F$1)*('Data for SPECIATE'!$M$1:$AZ$1='PM Protocol'!$A97)*'Data for SPECIATE'!$M$5:$AZ$26)/VLOOKUP(F$1,'Data for SPECIATE'!$C$5:$L$26,10,FALSE)</f>
        <v>2.3656299752120063E-5</v>
      </c>
      <c r="G97" s="188" cm="1">
        <f t="array" ref="G97">SUMPRODUCT(('Data for SPECIATE'!$C$5:$C$26='PM Protocol'!G$1)*('Data for SPECIATE'!$M$1:$AZ$1='PM Protocol'!$A97)*'Data for SPECIATE'!$M$5:$AZ$26)/VLOOKUP(G$1,'Data for SPECIATE'!$C$5:$L$26,10,FALSE)</f>
        <v>0</v>
      </c>
      <c r="H97" s="188" cm="1">
        <f t="array" ref="H97">SUMPRODUCT(('Data for SPECIATE'!$C$5:$C$26='PM Protocol'!H$1)*('Data for SPECIATE'!$M$1:$AZ$1='PM Protocol'!$A97)*'Data for SPECIATE'!$M$5:$AZ$26)/VLOOKUP(H$1,'Data for SPECIATE'!$C$5:$L$26,10,FALSE)</f>
        <v>0</v>
      </c>
      <c r="I97" s="188" cm="1">
        <f t="array" ref="I97">SUMPRODUCT(('Data for SPECIATE'!$C$5:$C$26='PM Protocol'!I$1)*('Data for SPECIATE'!$M$1:$AZ$1='PM Protocol'!$A97)*'Data for SPECIATE'!$M$5:$AZ$26)/VLOOKUP(I$1,'Data for SPECIATE'!$C$5:$L$26,10,FALSE)</f>
        <v>0</v>
      </c>
      <c r="J97" s="188" cm="1">
        <f t="array" ref="J97">SUMPRODUCT(('Data for SPECIATE'!$C$5:$C$26='PM Protocol'!J$1)*('Data for SPECIATE'!$M$1:$AZ$1='PM Protocol'!$A97)*'Data for SPECIATE'!$M$5:$AZ$26)/VLOOKUP(J$1,'Data for SPECIATE'!$C$5:$L$26,10,FALSE)</f>
        <v>7.9790026305918259E-6</v>
      </c>
      <c r="K97" s="188" cm="1">
        <f t="array" ref="K97">SUMPRODUCT(('Data for SPECIATE'!$C$5:$C$26='PM Protocol'!K$1)*('Data for SPECIATE'!$M$1:$AZ$1='PM Protocol'!$A97)*'Data for SPECIATE'!$M$5:$AZ$26)/VLOOKUP(K$1,'Data for SPECIATE'!$C$5:$L$26,10,FALSE)</f>
        <v>0</v>
      </c>
      <c r="L97" s="188" cm="1">
        <f t="array" ref="L97">SUMPRODUCT(('Data for SPECIATE'!$C$5:$C$26='PM Protocol'!L$1)*('Data for SPECIATE'!$M$1:$AZ$1='PM Protocol'!$A97)*'Data for SPECIATE'!$M$5:$AZ$26)/VLOOKUP(L$1,'Data for SPECIATE'!$C$5:$L$26,10,FALSE)</f>
        <v>0</v>
      </c>
      <c r="M97" s="188" cm="1">
        <f t="array" ref="M97">SUMPRODUCT(('Data for SPECIATE'!$C$5:$C$26='PM Protocol'!M$1)*('Data for SPECIATE'!$M$1:$AZ$1='PM Protocol'!$A97)*'Data for SPECIATE'!$M$5:$AZ$26)/VLOOKUP(M$1,'Data for SPECIATE'!$C$5:$L$26,10,FALSE)</f>
        <v>0</v>
      </c>
      <c r="N97" s="188" cm="1">
        <f t="array" ref="N97">SUMPRODUCT(('Data for SPECIATE'!$C$5:$C$26='PM Protocol'!N$1)*('Data for SPECIATE'!$M$1:$AZ$1='PM Protocol'!$A97)*'Data for SPECIATE'!$M$5:$AZ$26)/VLOOKUP(N$1,'Data for SPECIATE'!$C$5:$L$26,10,FALSE)</f>
        <v>1.4491689841823788E-5</v>
      </c>
      <c r="O97" s="188" cm="1">
        <f t="array" ref="O97">SUMPRODUCT(('Data for SPECIATE'!$C$5:$C$26='PM Protocol'!O$1)*('Data for SPECIATE'!$M$1:$AZ$1='PM Protocol'!$A97)*'Data for SPECIATE'!$M$5:$AZ$26)/VLOOKUP(O$1,'Data for SPECIATE'!$C$5:$L$26,10,FALSE)</f>
        <v>0</v>
      </c>
      <c r="P97" s="188" cm="1">
        <f t="array" ref="P97">SUMPRODUCT(('Data for SPECIATE'!$C$5:$C$26='PM Protocol'!P$1)*('Data for SPECIATE'!$M$1:$AZ$1='PM Protocol'!$A97)*'Data for SPECIATE'!$M$5:$AZ$26)/VLOOKUP(P$1,'Data for SPECIATE'!$C$5:$L$26,10,FALSE)</f>
        <v>0</v>
      </c>
      <c r="Q97" s="188" cm="1">
        <f t="array" ref="Q97">SUMPRODUCT(('Data for SPECIATE'!$C$5:$C$26='PM Protocol'!Q$1)*('Data for SPECIATE'!$M$1:$AZ$1='PM Protocol'!$A97)*'Data for SPECIATE'!$M$5:$AZ$26)/VLOOKUP(Q$1,'Data for SPECIATE'!$C$5:$L$26,10,FALSE)</f>
        <v>0</v>
      </c>
      <c r="R97" s="188" cm="1">
        <f t="array" ref="R97">SUMPRODUCT(('Data for SPECIATE'!$C$5:$C$26='PM Protocol'!R$1)*('Data for SPECIATE'!$M$1:$AZ$1='PM Protocol'!$A97)*'Data for SPECIATE'!$M$5:$AZ$26)/SUMPRODUCT(('Data for SPECIATE'!$C$5:$C$26='PM Protocol'!R$1)*'Data for SPECIATE'!$M$5:$AZ$26)</f>
        <v>1.4375665752253328E-4</v>
      </c>
      <c r="S97" s="188" cm="1">
        <f t="array" ref="S97">SUMPRODUCT(('Data for SPECIATE'!$C$5:$C$26='PM Protocol'!S$1)*('Data for SPECIATE'!$M$1:$AZ$1='PM Protocol'!$A97)*'Data for SPECIATE'!$M$5:$AZ$26)/VLOOKUP(S$1,'Data for SPECIATE'!$C$5:$L$26,10,FALSE)</f>
        <v>9.1415823639247901E-5</v>
      </c>
      <c r="T97" s="188" cm="1">
        <f t="array" ref="T97">SUMPRODUCT(('Data for SPECIATE'!$C$5:$C$26='PM Protocol'!T$1)*('Data for SPECIATE'!$M$1:$AZ$1='PM Protocol'!$A97)*'Data for SPECIATE'!$M$5:$AZ$26)/VLOOKUP(T$1,'Data for SPECIATE'!$C$5:$L$26,10,FALSE)</f>
        <v>0</v>
      </c>
      <c r="U97" s="188" cm="1">
        <f t="array" ref="U97">SUMPRODUCT(('Data for SPECIATE'!$C$5:$C$26='PM Protocol'!U$1)*('Data for SPECIATE'!$M$1:$AZ$1='PM Protocol'!$A97)*'Data for SPECIATE'!$M$5:$AZ$26)/VLOOKUP(U$1,'Data for SPECIATE'!$C$5:$L$26,10,FALSE)</f>
        <v>5.5492835819228536E-5</v>
      </c>
      <c r="V97" s="188" cm="1">
        <f t="array" ref="V97">SUMPRODUCT(('Data for SPECIATE'!$C$5:$C$26='PM Protocol'!V$1)*('Data for SPECIATE'!$M$1:$AZ$1='PM Protocol'!$A97)*'Data for SPECIATE'!$M$5:$AZ$26)/VLOOKUP(V$1,'Data for SPECIATE'!$C$5:$L$26,10,FALSE)</f>
        <v>0</v>
      </c>
      <c r="W97" s="188" cm="1">
        <f t="array" ref="W97">SUMPRODUCT(('Data for SPECIATE'!$C$5:$C$26='PM Protocol'!W$1)*('Data for SPECIATE'!$M$1:$AZ$1='PM Protocol'!$A97)*'Data for SPECIATE'!$M$5:$AZ$26)/VLOOKUP(W$1,'Data for SPECIATE'!$C$5:$L$26,10,FALSE)</f>
        <v>0</v>
      </c>
      <c r="X97" s="188" cm="1">
        <f t="array" ref="X97">SUMPRODUCT(('Data for SPECIATE'!$C$5:$C$26='PM Protocol'!X$1)*('Data for SPECIATE'!$M$1:$AZ$1='PM Protocol'!$A97)*'Data for SPECIATE'!$M$5:$AZ$26)/VLOOKUP(X$1,'Data for SPECIATE'!$C$5:$L$26,10,FALSE)</f>
        <v>4.1373516550312442E-4</v>
      </c>
      <c r="Y97" s="188" cm="1">
        <f t="array" ref="Y97">SUMPRODUCT(('Data for SPECIATE'!$C$5:$C$26='PM Protocol'!Y$1)*('Data for SPECIATE'!$M$1:$AZ$1='PM Protocol'!$A97)*'Data for SPECIATE'!$M$5:$AZ$26)/VLOOKUP(Y$1,'Data for SPECIATE'!$C$5:$L$26,10,FALSE)</f>
        <v>0</v>
      </c>
      <c r="Z97" s="188" cm="1">
        <f t="array" ref="Z97">SUMPRODUCT(('Data for SPECIATE'!$C$5:$C$26='PM Protocol'!Z$1)*('Data for SPECIATE'!$M$1:$AZ$1='PM Protocol'!$A97)*'Data for SPECIATE'!$M$5:$AZ$26)/VLOOKUP(Z$1,'Data for SPECIATE'!$C$5:$L$26,10,FALSE)</f>
        <v>0</v>
      </c>
    </row>
    <row r="98" spans="1:26">
      <c r="A98">
        <v>300</v>
      </c>
      <c r="B98" t="str">
        <f>HLOOKUP(A98,'Data for SPECIATE'!$M$1:$AZ$2,2,FALSE)</f>
        <v>XRF</v>
      </c>
      <c r="C98" s="191">
        <f>IFERROR(VLOOKUP(A98,Oxides!$A$2:$G$39,7,FALSE),0)</f>
        <v>0.11700000000000001</v>
      </c>
      <c r="D98" t="s">
        <v>653</v>
      </c>
      <c r="E98" s="188" cm="1">
        <f t="array" ref="E98">SUMPRODUCT(('Data for SPECIATE'!$C$5:$C$26='PM Protocol'!E$1)*('Data for SPECIATE'!$M$1:$AZ$1='PM Protocol'!$A98)*'Data for SPECIATE'!$M$5:$AZ$26)/VLOOKUP(E$1,'Data for SPECIATE'!$C$5:$L$26,10,FALSE)</f>
        <v>0</v>
      </c>
      <c r="F98" s="188" cm="1">
        <f t="array" ref="F98">SUMPRODUCT(('Data for SPECIATE'!$C$5:$C$26='PM Protocol'!F$1)*('Data for SPECIATE'!$M$1:$AZ$1='PM Protocol'!$A98)*'Data for SPECIATE'!$M$5:$AZ$26)/VLOOKUP(F$1,'Data for SPECIATE'!$C$5:$L$26,10,FALSE)</f>
        <v>0</v>
      </c>
      <c r="G98" s="188" cm="1">
        <f t="array" ref="G98">SUMPRODUCT(('Data for SPECIATE'!$C$5:$C$26='PM Protocol'!G$1)*('Data for SPECIATE'!$M$1:$AZ$1='PM Protocol'!$A98)*'Data for SPECIATE'!$M$5:$AZ$26)/VLOOKUP(G$1,'Data for SPECIATE'!$C$5:$L$26,10,FALSE)</f>
        <v>0</v>
      </c>
      <c r="H98" s="188" cm="1">
        <f t="array" ref="H98">SUMPRODUCT(('Data for SPECIATE'!$C$5:$C$26='PM Protocol'!H$1)*('Data for SPECIATE'!$M$1:$AZ$1='PM Protocol'!$A98)*'Data for SPECIATE'!$M$5:$AZ$26)/VLOOKUP(H$1,'Data for SPECIATE'!$C$5:$L$26,10,FALSE)</f>
        <v>0</v>
      </c>
      <c r="I98" s="188" cm="1">
        <f t="array" ref="I98">SUMPRODUCT(('Data for SPECIATE'!$C$5:$C$26='PM Protocol'!I$1)*('Data for SPECIATE'!$M$1:$AZ$1='PM Protocol'!$A98)*'Data for SPECIATE'!$M$5:$AZ$26)/VLOOKUP(I$1,'Data for SPECIATE'!$C$5:$L$26,10,FALSE)</f>
        <v>1.3090311309965286E-4</v>
      </c>
      <c r="J98" s="188" cm="1">
        <f t="array" ref="J98">SUMPRODUCT(('Data for SPECIATE'!$C$5:$C$26='PM Protocol'!J$1)*('Data for SPECIATE'!$M$1:$AZ$1='PM Protocol'!$A98)*'Data for SPECIATE'!$M$5:$AZ$26)/VLOOKUP(J$1,'Data for SPECIATE'!$C$5:$L$26,10,FALSE)</f>
        <v>0</v>
      </c>
      <c r="K98" s="188" cm="1">
        <f t="array" ref="K98">SUMPRODUCT(('Data for SPECIATE'!$C$5:$C$26='PM Protocol'!K$1)*('Data for SPECIATE'!$M$1:$AZ$1='PM Protocol'!$A98)*'Data for SPECIATE'!$M$5:$AZ$26)/VLOOKUP(K$1,'Data for SPECIATE'!$C$5:$L$26,10,FALSE)</f>
        <v>0</v>
      </c>
      <c r="L98" s="188" cm="1">
        <f t="array" ref="L98">SUMPRODUCT(('Data for SPECIATE'!$C$5:$C$26='PM Protocol'!L$1)*('Data for SPECIATE'!$M$1:$AZ$1='PM Protocol'!$A98)*'Data for SPECIATE'!$M$5:$AZ$26)/VLOOKUP(L$1,'Data for SPECIATE'!$C$5:$L$26,10,FALSE)</f>
        <v>4.3176240721744378E-5</v>
      </c>
      <c r="M98" s="188" cm="1">
        <f t="array" ref="M98">SUMPRODUCT(('Data for SPECIATE'!$C$5:$C$26='PM Protocol'!M$1)*('Data for SPECIATE'!$M$1:$AZ$1='PM Protocol'!$A98)*'Data for SPECIATE'!$M$5:$AZ$26)/VLOOKUP(M$1,'Data for SPECIATE'!$C$5:$L$26,10,FALSE)</f>
        <v>0</v>
      </c>
      <c r="N98" s="188" cm="1">
        <f t="array" ref="N98">SUMPRODUCT(('Data for SPECIATE'!$C$5:$C$26='PM Protocol'!N$1)*('Data for SPECIATE'!$M$1:$AZ$1='PM Protocol'!$A98)*'Data for SPECIATE'!$M$5:$AZ$26)/VLOOKUP(N$1,'Data for SPECIATE'!$C$5:$L$26,10,FALSE)</f>
        <v>0</v>
      </c>
      <c r="O98" s="188" cm="1">
        <f t="array" ref="O98">SUMPRODUCT(('Data for SPECIATE'!$C$5:$C$26='PM Protocol'!O$1)*('Data for SPECIATE'!$M$1:$AZ$1='PM Protocol'!$A98)*'Data for SPECIATE'!$M$5:$AZ$26)/VLOOKUP(O$1,'Data for SPECIATE'!$C$5:$L$26,10,FALSE)</f>
        <v>6.9459211756836119E-5</v>
      </c>
      <c r="P98" s="188" cm="1">
        <f t="array" ref="P98">SUMPRODUCT(('Data for SPECIATE'!$C$5:$C$26='PM Protocol'!P$1)*('Data for SPECIATE'!$M$1:$AZ$1='PM Protocol'!$A98)*'Data for SPECIATE'!$M$5:$AZ$26)/VLOOKUP(P$1,'Data for SPECIATE'!$C$5:$L$26,10,FALSE)</f>
        <v>0</v>
      </c>
      <c r="Q98" s="188" cm="1">
        <f t="array" ref="Q98">SUMPRODUCT(('Data for SPECIATE'!$C$5:$C$26='PM Protocol'!Q$1)*('Data for SPECIATE'!$M$1:$AZ$1='PM Protocol'!$A98)*'Data for SPECIATE'!$M$5:$AZ$26)/VLOOKUP(Q$1,'Data for SPECIATE'!$C$5:$L$26,10,FALSE)</f>
        <v>0</v>
      </c>
      <c r="R98" s="188" cm="1">
        <f t="array" ref="R98">SUMPRODUCT(('Data for SPECIATE'!$C$5:$C$26='PM Protocol'!R$1)*('Data for SPECIATE'!$M$1:$AZ$1='PM Protocol'!$A98)*'Data for SPECIATE'!$M$5:$AZ$26)/SUMPRODUCT(('Data for SPECIATE'!$C$5:$C$26='PM Protocol'!R$1)*'Data for SPECIATE'!$M$5:$AZ$26)</f>
        <v>0</v>
      </c>
      <c r="S98" s="188" cm="1">
        <f t="array" ref="S98">SUMPRODUCT(('Data for SPECIATE'!$C$5:$C$26='PM Protocol'!S$1)*('Data for SPECIATE'!$M$1:$AZ$1='PM Protocol'!$A98)*'Data for SPECIATE'!$M$5:$AZ$26)/VLOOKUP(S$1,'Data for SPECIATE'!$C$5:$L$26,10,FALSE)</f>
        <v>0</v>
      </c>
      <c r="T98" s="188" cm="1">
        <f t="array" ref="T98">SUMPRODUCT(('Data for SPECIATE'!$C$5:$C$26='PM Protocol'!T$1)*('Data for SPECIATE'!$M$1:$AZ$1='PM Protocol'!$A98)*'Data for SPECIATE'!$M$5:$AZ$26)/VLOOKUP(T$1,'Data for SPECIATE'!$C$5:$L$26,10,FALSE)</f>
        <v>0</v>
      </c>
      <c r="U98" s="188" cm="1">
        <f t="array" ref="U98">SUMPRODUCT(('Data for SPECIATE'!$C$5:$C$26='PM Protocol'!U$1)*('Data for SPECIATE'!$M$1:$AZ$1='PM Protocol'!$A98)*'Data for SPECIATE'!$M$5:$AZ$26)/VLOOKUP(U$1,'Data for SPECIATE'!$C$5:$L$26,10,FALSE)</f>
        <v>0</v>
      </c>
      <c r="V98" s="188" cm="1">
        <f t="array" ref="V98">SUMPRODUCT(('Data for SPECIATE'!$C$5:$C$26='PM Protocol'!V$1)*('Data for SPECIATE'!$M$1:$AZ$1='PM Protocol'!$A98)*'Data for SPECIATE'!$M$5:$AZ$26)/VLOOKUP(V$1,'Data for SPECIATE'!$C$5:$L$26,10,FALSE)</f>
        <v>0</v>
      </c>
      <c r="W98" s="188" cm="1">
        <f t="array" ref="W98">SUMPRODUCT(('Data for SPECIATE'!$C$5:$C$26='PM Protocol'!W$1)*('Data for SPECIATE'!$M$1:$AZ$1='PM Protocol'!$A98)*'Data for SPECIATE'!$M$5:$AZ$26)/VLOOKUP(W$1,'Data for SPECIATE'!$C$5:$L$26,10,FALSE)</f>
        <v>0</v>
      </c>
      <c r="X98" s="188" cm="1">
        <f t="array" ref="X98">SUMPRODUCT(('Data for SPECIATE'!$C$5:$C$26='PM Protocol'!X$1)*('Data for SPECIATE'!$M$1:$AZ$1='PM Protocol'!$A98)*'Data for SPECIATE'!$M$5:$AZ$26)/VLOOKUP(X$1,'Data for SPECIATE'!$C$5:$L$26,10,FALSE)</f>
        <v>0</v>
      </c>
      <c r="Y98" s="188" cm="1">
        <f t="array" ref="Y98">SUMPRODUCT(('Data for SPECIATE'!$C$5:$C$26='PM Protocol'!Y$1)*('Data for SPECIATE'!$M$1:$AZ$1='PM Protocol'!$A98)*'Data for SPECIATE'!$M$5:$AZ$26)/VLOOKUP(Y$1,'Data for SPECIATE'!$C$5:$L$26,10,FALSE)</f>
        <v>0</v>
      </c>
      <c r="Z98" s="188" cm="1">
        <f t="array" ref="Z98">SUMPRODUCT(('Data for SPECIATE'!$C$5:$C$26='PM Protocol'!Z$1)*('Data for SPECIATE'!$M$1:$AZ$1='PM Protocol'!$A98)*'Data for SPECIATE'!$M$5:$AZ$26)/VLOOKUP(Z$1,'Data for SPECIATE'!$C$5:$L$26,10,FALSE)</f>
        <v>2.3897279357840488E-5</v>
      </c>
    </row>
    <row r="99" spans="1:26">
      <c r="A99">
        <v>519</v>
      </c>
      <c r="B99" t="str">
        <f>HLOOKUP(A99,'Data for SPECIATE'!$M$1:$AZ$2,2,FALSE)</f>
        <v>XRF</v>
      </c>
      <c r="C99" s="191">
        <f>IFERROR(VLOOKUP(A99,Oxides!$A$2:$G$39,7,FALSE),0)</f>
        <v>0.17299999999999999</v>
      </c>
      <c r="D99" t="s">
        <v>654</v>
      </c>
      <c r="E99" s="188" cm="1">
        <f t="array" ref="E99">SUMPRODUCT(('Data for SPECIATE'!$C$5:$C$26='PM Protocol'!E$1)*('Data for SPECIATE'!$M$1:$AZ$1='PM Protocol'!$A99)*'Data for SPECIATE'!$M$5:$AZ$26)/VLOOKUP(E$1,'Data for SPECIATE'!$C$5:$L$26,10,FALSE)</f>
        <v>0</v>
      </c>
      <c r="F99" s="188" cm="1">
        <f t="array" ref="F99">SUMPRODUCT(('Data for SPECIATE'!$C$5:$C$26='PM Protocol'!F$1)*('Data for SPECIATE'!$M$1:$AZ$1='PM Protocol'!$A99)*'Data for SPECIATE'!$M$5:$AZ$26)/VLOOKUP(F$1,'Data for SPECIATE'!$C$5:$L$26,10,FALSE)</f>
        <v>0</v>
      </c>
      <c r="G99" s="188" cm="1">
        <f t="array" ref="G99">SUMPRODUCT(('Data for SPECIATE'!$C$5:$C$26='PM Protocol'!G$1)*('Data for SPECIATE'!$M$1:$AZ$1='PM Protocol'!$A99)*'Data for SPECIATE'!$M$5:$AZ$26)/VLOOKUP(G$1,'Data for SPECIATE'!$C$5:$L$26,10,FALSE)</f>
        <v>0</v>
      </c>
      <c r="H99" s="188" cm="1">
        <f t="array" ref="H99">SUMPRODUCT(('Data for SPECIATE'!$C$5:$C$26='PM Protocol'!H$1)*('Data for SPECIATE'!$M$1:$AZ$1='PM Protocol'!$A99)*'Data for SPECIATE'!$M$5:$AZ$26)/VLOOKUP(H$1,'Data for SPECIATE'!$C$5:$L$26,10,FALSE)</f>
        <v>0</v>
      </c>
      <c r="I99" s="188" cm="1">
        <f t="array" ref="I99">SUMPRODUCT(('Data for SPECIATE'!$C$5:$C$26='PM Protocol'!I$1)*('Data for SPECIATE'!$M$1:$AZ$1='PM Protocol'!$A99)*'Data for SPECIATE'!$M$5:$AZ$26)/VLOOKUP(I$1,'Data for SPECIATE'!$C$5:$L$26,10,FALSE)</f>
        <v>3.5447482677122265E-5</v>
      </c>
      <c r="J99" s="188" cm="1">
        <f t="array" ref="J99">SUMPRODUCT(('Data for SPECIATE'!$C$5:$C$26='PM Protocol'!J$1)*('Data for SPECIATE'!$M$1:$AZ$1='PM Protocol'!$A99)*'Data for SPECIATE'!$M$5:$AZ$26)/VLOOKUP(J$1,'Data for SPECIATE'!$C$5:$L$26,10,FALSE)</f>
        <v>0</v>
      </c>
      <c r="K99" s="188" cm="1">
        <f t="array" ref="K99">SUMPRODUCT(('Data for SPECIATE'!$C$5:$C$26='PM Protocol'!K$1)*('Data for SPECIATE'!$M$1:$AZ$1='PM Protocol'!$A99)*'Data for SPECIATE'!$M$5:$AZ$26)/VLOOKUP(K$1,'Data for SPECIATE'!$C$5:$L$26,10,FALSE)</f>
        <v>4.3156026309727744E-5</v>
      </c>
      <c r="L99" s="188" cm="1">
        <f t="array" ref="L99">SUMPRODUCT(('Data for SPECIATE'!$C$5:$C$26='PM Protocol'!L$1)*('Data for SPECIATE'!$M$1:$AZ$1='PM Protocol'!$A99)*'Data for SPECIATE'!$M$5:$AZ$26)/VLOOKUP(L$1,'Data for SPECIATE'!$C$5:$L$26,10,FALSE)</f>
        <v>0</v>
      </c>
      <c r="M99" s="188" cm="1">
        <f t="array" ref="M99">SUMPRODUCT(('Data for SPECIATE'!$C$5:$C$26='PM Protocol'!M$1)*('Data for SPECIATE'!$M$1:$AZ$1='PM Protocol'!$A99)*'Data for SPECIATE'!$M$5:$AZ$26)/VLOOKUP(M$1,'Data for SPECIATE'!$C$5:$L$26,10,FALSE)</f>
        <v>0</v>
      </c>
      <c r="N99" s="188" cm="1">
        <f t="array" ref="N99">SUMPRODUCT(('Data for SPECIATE'!$C$5:$C$26='PM Protocol'!N$1)*('Data for SPECIATE'!$M$1:$AZ$1='PM Protocol'!$A99)*'Data for SPECIATE'!$M$5:$AZ$26)/VLOOKUP(N$1,'Data for SPECIATE'!$C$5:$L$26,10,FALSE)</f>
        <v>0</v>
      </c>
      <c r="O99" s="188" cm="1">
        <f t="array" ref="O99">SUMPRODUCT(('Data for SPECIATE'!$C$5:$C$26='PM Protocol'!O$1)*('Data for SPECIATE'!$M$1:$AZ$1='PM Protocol'!$A99)*'Data for SPECIATE'!$M$5:$AZ$26)/VLOOKUP(O$1,'Data for SPECIATE'!$C$5:$L$26,10,FALSE)</f>
        <v>5.2121050937811638E-5</v>
      </c>
      <c r="P99" s="188" cm="1">
        <f t="array" ref="P99">SUMPRODUCT(('Data for SPECIATE'!$C$5:$C$26='PM Protocol'!P$1)*('Data for SPECIATE'!$M$1:$AZ$1='PM Protocol'!$A99)*'Data for SPECIATE'!$M$5:$AZ$26)/VLOOKUP(P$1,'Data for SPECIATE'!$C$5:$L$26,10,FALSE)</f>
        <v>0</v>
      </c>
      <c r="Q99" s="188" cm="1">
        <f t="array" ref="Q99">SUMPRODUCT(('Data for SPECIATE'!$C$5:$C$26='PM Protocol'!Q$1)*('Data for SPECIATE'!$M$1:$AZ$1='PM Protocol'!$A99)*'Data for SPECIATE'!$M$5:$AZ$26)/VLOOKUP(Q$1,'Data for SPECIATE'!$C$5:$L$26,10,FALSE)</f>
        <v>0</v>
      </c>
      <c r="R99" s="188" cm="1">
        <f t="array" ref="R99">SUMPRODUCT(('Data for SPECIATE'!$C$5:$C$26='PM Protocol'!R$1)*('Data for SPECIATE'!$M$1:$AZ$1='PM Protocol'!$A99)*'Data for SPECIATE'!$M$5:$AZ$26)/SUMPRODUCT(('Data for SPECIATE'!$C$5:$C$26='PM Protocol'!R$1)*'Data for SPECIATE'!$M$5:$AZ$26)</f>
        <v>0</v>
      </c>
      <c r="S99" s="188" cm="1">
        <f t="array" ref="S99">SUMPRODUCT(('Data for SPECIATE'!$C$5:$C$26='PM Protocol'!S$1)*('Data for SPECIATE'!$M$1:$AZ$1='PM Protocol'!$A99)*'Data for SPECIATE'!$M$5:$AZ$26)/VLOOKUP(S$1,'Data for SPECIATE'!$C$5:$L$26,10,FALSE)</f>
        <v>0</v>
      </c>
      <c r="T99" s="188" cm="1">
        <f t="array" ref="T99">SUMPRODUCT(('Data for SPECIATE'!$C$5:$C$26='PM Protocol'!T$1)*('Data for SPECIATE'!$M$1:$AZ$1='PM Protocol'!$A99)*'Data for SPECIATE'!$M$5:$AZ$26)/VLOOKUP(T$1,'Data for SPECIATE'!$C$5:$L$26,10,FALSE)</f>
        <v>6.6124469211333406E-6</v>
      </c>
      <c r="U99" s="188" cm="1">
        <f t="array" ref="U99">SUMPRODUCT(('Data for SPECIATE'!$C$5:$C$26='PM Protocol'!U$1)*('Data for SPECIATE'!$M$1:$AZ$1='PM Protocol'!$A99)*'Data for SPECIATE'!$M$5:$AZ$26)/VLOOKUP(U$1,'Data for SPECIATE'!$C$5:$L$26,10,FALSE)</f>
        <v>0</v>
      </c>
      <c r="V99" s="188" cm="1">
        <f t="array" ref="V99">SUMPRODUCT(('Data for SPECIATE'!$C$5:$C$26='PM Protocol'!V$1)*('Data for SPECIATE'!$M$1:$AZ$1='PM Protocol'!$A99)*'Data for SPECIATE'!$M$5:$AZ$26)/VLOOKUP(V$1,'Data for SPECIATE'!$C$5:$L$26,10,FALSE)</f>
        <v>0</v>
      </c>
      <c r="W99" s="188" cm="1">
        <f t="array" ref="W99">SUMPRODUCT(('Data for SPECIATE'!$C$5:$C$26='PM Protocol'!W$1)*('Data for SPECIATE'!$M$1:$AZ$1='PM Protocol'!$A99)*'Data for SPECIATE'!$M$5:$AZ$26)/VLOOKUP(W$1,'Data for SPECIATE'!$C$5:$L$26,10,FALSE)</f>
        <v>5.702636846168354E-6</v>
      </c>
      <c r="X99" s="188" cm="1">
        <f t="array" ref="X99">SUMPRODUCT(('Data for SPECIATE'!$C$5:$C$26='PM Protocol'!X$1)*('Data for SPECIATE'!$M$1:$AZ$1='PM Protocol'!$A99)*'Data for SPECIATE'!$M$5:$AZ$26)/VLOOKUP(X$1,'Data for SPECIATE'!$C$5:$L$26,10,FALSE)</f>
        <v>0</v>
      </c>
      <c r="Y99" s="188" cm="1">
        <f t="array" ref="Y99">SUMPRODUCT(('Data for SPECIATE'!$C$5:$C$26='PM Protocol'!Y$1)*('Data for SPECIATE'!$M$1:$AZ$1='PM Protocol'!$A99)*'Data for SPECIATE'!$M$5:$AZ$26)/VLOOKUP(Y$1,'Data for SPECIATE'!$C$5:$L$26,10,FALSE)</f>
        <v>0</v>
      </c>
      <c r="Z99" s="188" cm="1">
        <f t="array" ref="Z99">SUMPRODUCT(('Data for SPECIATE'!$C$5:$C$26='PM Protocol'!Z$1)*('Data for SPECIATE'!$M$1:$AZ$1='PM Protocol'!$A99)*'Data for SPECIATE'!$M$5:$AZ$26)/VLOOKUP(Z$1,'Data for SPECIATE'!$C$5:$L$26,10,FALSE)</f>
        <v>1.6161419796300813E-5</v>
      </c>
    </row>
    <row r="100" spans="1:26">
      <c r="A100">
        <v>1861</v>
      </c>
      <c r="B100" t="s">
        <v>20</v>
      </c>
      <c r="C100" s="191">
        <f>IFERROR(VLOOKUP(A100,Oxides!$A$2:$G$39,7,FALSE),0)</f>
        <v>0.2</v>
      </c>
      <c r="D100" t="s">
        <v>736</v>
      </c>
      <c r="E100" s="188" cm="1">
        <f t="array" ref="E100">SUMPRODUCT(('Data for SPECIATE'!$C$5:$C$26='PM Protocol'!E$1)*('Data for SPECIATE'!$M$1:$AZ$1='PM Protocol'!$A100)*'Data for SPECIATE'!$M$5:$AZ$26)/VLOOKUP(E$1,'Data for SPECIATE'!$C$5:$L$26,10,FALSE)</f>
        <v>0</v>
      </c>
      <c r="F100" s="188" cm="1">
        <f t="array" ref="F100">SUMPRODUCT(('Data for SPECIATE'!$C$5:$C$26='PM Protocol'!F$1)*('Data for SPECIATE'!$M$1:$AZ$1='PM Protocol'!$A100)*'Data for SPECIATE'!$M$5:$AZ$26)/VLOOKUP(F$1,'Data for SPECIATE'!$C$5:$L$26,10,FALSE)</f>
        <v>0</v>
      </c>
      <c r="G100" s="188" cm="1">
        <f t="array" ref="G100">SUMPRODUCT(('Data for SPECIATE'!$C$5:$C$26='PM Protocol'!G$1)*('Data for SPECIATE'!$M$1:$AZ$1='PM Protocol'!$A100)*'Data for SPECIATE'!$M$5:$AZ$26)/VLOOKUP(G$1,'Data for SPECIATE'!$C$5:$L$26,10,FALSE)</f>
        <v>0</v>
      </c>
      <c r="H100" s="188" cm="1">
        <f t="array" ref="H100">SUMPRODUCT(('Data for SPECIATE'!$C$5:$C$26='PM Protocol'!H$1)*('Data for SPECIATE'!$M$1:$AZ$1='PM Protocol'!$A100)*'Data for SPECIATE'!$M$5:$AZ$26)/VLOOKUP(H$1,'Data for SPECIATE'!$C$5:$L$26,10,FALSE)</f>
        <v>0</v>
      </c>
      <c r="I100" s="188" cm="1">
        <f t="array" ref="I100">SUMPRODUCT(('Data for SPECIATE'!$C$5:$C$26='PM Protocol'!I$1)*('Data for SPECIATE'!$M$1:$AZ$1='PM Protocol'!$A100)*'Data for SPECIATE'!$M$5:$AZ$26)/VLOOKUP(I$1,'Data for SPECIATE'!$C$5:$L$26,10,FALSE)</f>
        <v>0</v>
      </c>
      <c r="J100" s="188" cm="1">
        <f t="array" ref="J100">SUMPRODUCT(('Data for SPECIATE'!$C$5:$C$26='PM Protocol'!J$1)*('Data for SPECIATE'!$M$1:$AZ$1='PM Protocol'!$A100)*'Data for SPECIATE'!$M$5:$AZ$26)/VLOOKUP(J$1,'Data for SPECIATE'!$C$5:$L$26,10,FALSE)</f>
        <v>0</v>
      </c>
      <c r="K100" s="188" cm="1">
        <f t="array" ref="K100">SUMPRODUCT(('Data for SPECIATE'!$C$5:$C$26='PM Protocol'!K$1)*('Data for SPECIATE'!$M$1:$AZ$1='PM Protocol'!$A100)*'Data for SPECIATE'!$M$5:$AZ$26)/VLOOKUP(K$1,'Data for SPECIATE'!$C$5:$L$26,10,FALSE)</f>
        <v>0</v>
      </c>
      <c r="L100" s="188" cm="1">
        <f t="array" ref="L100">SUMPRODUCT(('Data for SPECIATE'!$C$5:$C$26='PM Protocol'!L$1)*('Data for SPECIATE'!$M$1:$AZ$1='PM Protocol'!$A100)*'Data for SPECIATE'!$M$5:$AZ$26)/VLOOKUP(L$1,'Data for SPECIATE'!$C$5:$L$26,10,FALSE)</f>
        <v>0</v>
      </c>
      <c r="M100" s="188" cm="1">
        <f t="array" ref="M100">SUMPRODUCT(('Data for SPECIATE'!$C$5:$C$26='PM Protocol'!M$1)*('Data for SPECIATE'!$M$1:$AZ$1='PM Protocol'!$A100)*'Data for SPECIATE'!$M$5:$AZ$26)/VLOOKUP(M$1,'Data for SPECIATE'!$C$5:$L$26,10,FALSE)</f>
        <v>0</v>
      </c>
      <c r="N100" s="188" cm="1">
        <f t="array" ref="N100">SUMPRODUCT(('Data for SPECIATE'!$C$5:$C$26='PM Protocol'!N$1)*('Data for SPECIATE'!$M$1:$AZ$1='PM Protocol'!$A100)*'Data for SPECIATE'!$M$5:$AZ$26)/VLOOKUP(N$1,'Data for SPECIATE'!$C$5:$L$26,10,FALSE)</f>
        <v>0</v>
      </c>
      <c r="O100" s="188" cm="1">
        <f t="array" ref="O100">SUMPRODUCT(('Data for SPECIATE'!$C$5:$C$26='PM Protocol'!O$1)*('Data for SPECIATE'!$M$1:$AZ$1='PM Protocol'!$A100)*'Data for SPECIATE'!$M$5:$AZ$26)/VLOOKUP(O$1,'Data for SPECIATE'!$C$5:$L$26,10,FALSE)</f>
        <v>0</v>
      </c>
      <c r="P100" s="188" cm="1">
        <f t="array" ref="P100">SUMPRODUCT(('Data for SPECIATE'!$C$5:$C$26='PM Protocol'!P$1)*('Data for SPECIATE'!$M$1:$AZ$1='PM Protocol'!$A100)*'Data for SPECIATE'!$M$5:$AZ$26)/VLOOKUP(P$1,'Data for SPECIATE'!$C$5:$L$26,10,FALSE)</f>
        <v>0</v>
      </c>
      <c r="Q100" s="188" cm="1">
        <f t="array" ref="Q100">SUMPRODUCT(('Data for SPECIATE'!$C$5:$C$26='PM Protocol'!Q$1)*('Data for SPECIATE'!$M$1:$AZ$1='PM Protocol'!$A100)*'Data for SPECIATE'!$M$5:$AZ$26)/VLOOKUP(Q$1,'Data for SPECIATE'!$C$5:$L$26,10,FALSE)</f>
        <v>0</v>
      </c>
      <c r="R100" s="188" cm="1">
        <f t="array" ref="R100">SUMPRODUCT(('Data for SPECIATE'!$C$5:$C$26='PM Protocol'!R$1)*('Data for SPECIATE'!$M$1:$AZ$1='PM Protocol'!$A100)*'Data for SPECIATE'!$M$5:$AZ$26)/SUMPRODUCT(('Data for SPECIATE'!$C$5:$C$26='PM Protocol'!R$1)*'Data for SPECIATE'!$M$5:$AZ$26)</f>
        <v>0</v>
      </c>
      <c r="S100" s="188" cm="1">
        <f t="array" ref="S100">SUMPRODUCT(('Data for SPECIATE'!$C$5:$C$26='PM Protocol'!S$1)*('Data for SPECIATE'!$M$1:$AZ$1='PM Protocol'!$A100)*'Data for SPECIATE'!$M$5:$AZ$26)/VLOOKUP(S$1,'Data for SPECIATE'!$C$5:$L$26,10,FALSE)</f>
        <v>0</v>
      </c>
      <c r="T100" s="188" cm="1">
        <f t="array" ref="T100">SUMPRODUCT(('Data for SPECIATE'!$C$5:$C$26='PM Protocol'!T$1)*('Data for SPECIATE'!$M$1:$AZ$1='PM Protocol'!$A100)*'Data for SPECIATE'!$M$5:$AZ$26)/VLOOKUP(T$1,'Data for SPECIATE'!$C$5:$L$26,10,FALSE)</f>
        <v>0</v>
      </c>
      <c r="U100" s="188" cm="1">
        <f t="array" ref="U100">SUMPRODUCT(('Data for SPECIATE'!$C$5:$C$26='PM Protocol'!U$1)*('Data for SPECIATE'!$M$1:$AZ$1='PM Protocol'!$A100)*'Data for SPECIATE'!$M$5:$AZ$26)/VLOOKUP(U$1,'Data for SPECIATE'!$C$5:$L$26,10,FALSE)</f>
        <v>0</v>
      </c>
      <c r="V100" s="188" cm="1">
        <f t="array" ref="V100">SUMPRODUCT(('Data for SPECIATE'!$C$5:$C$26='PM Protocol'!V$1)*('Data for SPECIATE'!$M$1:$AZ$1='PM Protocol'!$A100)*'Data for SPECIATE'!$M$5:$AZ$26)/VLOOKUP(V$1,'Data for SPECIATE'!$C$5:$L$26,10,FALSE)</f>
        <v>0</v>
      </c>
      <c r="W100" s="188" cm="1">
        <f t="array" ref="W100">SUMPRODUCT(('Data for SPECIATE'!$C$5:$C$26='PM Protocol'!W$1)*('Data for SPECIATE'!$M$1:$AZ$1='PM Protocol'!$A100)*'Data for SPECIATE'!$M$5:$AZ$26)/VLOOKUP(W$1,'Data for SPECIATE'!$C$5:$L$26,10,FALSE)</f>
        <v>0</v>
      </c>
      <c r="X100" s="188" cm="1">
        <f t="array" ref="X100">SUMPRODUCT(('Data for SPECIATE'!$C$5:$C$26='PM Protocol'!X$1)*('Data for SPECIATE'!$M$1:$AZ$1='PM Protocol'!$A100)*'Data for SPECIATE'!$M$5:$AZ$26)/VLOOKUP(X$1,'Data for SPECIATE'!$C$5:$L$26,10,FALSE)</f>
        <v>0</v>
      </c>
      <c r="Y100" s="188" cm="1">
        <f t="array" ref="Y100">SUMPRODUCT(('Data for SPECIATE'!$C$5:$C$26='PM Protocol'!Y$1)*('Data for SPECIATE'!$M$1:$AZ$1='PM Protocol'!$A100)*'Data for SPECIATE'!$M$5:$AZ$26)/VLOOKUP(Y$1,'Data for SPECIATE'!$C$5:$L$26,10,FALSE)</f>
        <v>0</v>
      </c>
      <c r="Z100" s="188" cm="1">
        <f t="array" ref="Z100">SUMPRODUCT(('Data for SPECIATE'!$C$5:$C$26='PM Protocol'!Z$1)*('Data for SPECIATE'!$M$1:$AZ$1='PM Protocol'!$A100)*'Data for SPECIATE'!$M$5:$AZ$26)/VLOOKUP(Z$1,'Data for SPECIATE'!$C$5:$L$26,10,FALSE)</f>
        <v>0</v>
      </c>
    </row>
    <row r="101" spans="1:26">
      <c r="A101">
        <v>528</v>
      </c>
      <c r="B101" t="str">
        <f>HLOOKUP(A101,'Data for SPECIATE'!$M$1:$AZ$2,2,FALSE)</f>
        <v>XRF</v>
      </c>
      <c r="C101" s="191">
        <f>IFERROR(VLOOKUP(A101,Oxides!$A$2:$G$39,7,FALSE),0)</f>
        <v>0.06</v>
      </c>
      <c r="D101" t="s">
        <v>655</v>
      </c>
      <c r="E101" s="188" cm="1">
        <f t="array" ref="E101">SUMPRODUCT(('Data for SPECIATE'!$C$5:$C$26='PM Protocol'!E$1)*('Data for SPECIATE'!$M$1:$AZ$1='PM Protocol'!$A101)*'Data for SPECIATE'!$M$5:$AZ$26)/VLOOKUP(E$1,'Data for SPECIATE'!$C$5:$L$26,10,FALSE)</f>
        <v>1.2101122499615261E-5</v>
      </c>
      <c r="F101" s="188" cm="1">
        <f t="array" ref="F101">SUMPRODUCT(('Data for SPECIATE'!$C$5:$C$26='PM Protocol'!F$1)*('Data for SPECIATE'!$M$1:$AZ$1='PM Protocol'!$A101)*'Data for SPECIATE'!$M$5:$AZ$26)/VLOOKUP(F$1,'Data for SPECIATE'!$C$5:$L$26,10,FALSE)</f>
        <v>0</v>
      </c>
      <c r="G101" s="188" cm="1">
        <f t="array" ref="G101">SUMPRODUCT(('Data for SPECIATE'!$C$5:$C$26='PM Protocol'!G$1)*('Data for SPECIATE'!$M$1:$AZ$1='PM Protocol'!$A101)*'Data for SPECIATE'!$M$5:$AZ$26)/VLOOKUP(G$1,'Data for SPECIATE'!$C$5:$L$26,10,FALSE)</f>
        <v>6.9822666004387665E-6</v>
      </c>
      <c r="H101" s="188" cm="1">
        <f t="array" ref="H101">SUMPRODUCT(('Data for SPECIATE'!$C$5:$C$26='PM Protocol'!H$1)*('Data for SPECIATE'!$M$1:$AZ$1='PM Protocol'!$A101)*'Data for SPECIATE'!$M$5:$AZ$26)/VLOOKUP(H$1,'Data for SPECIATE'!$C$5:$L$26,10,FALSE)</f>
        <v>0</v>
      </c>
      <c r="I101" s="188" cm="1">
        <f t="array" ref="I101">SUMPRODUCT(('Data for SPECIATE'!$C$5:$C$26='PM Protocol'!I$1)*('Data for SPECIATE'!$M$1:$AZ$1='PM Protocol'!$A101)*'Data for SPECIATE'!$M$5:$AZ$26)/VLOOKUP(I$1,'Data for SPECIATE'!$C$5:$L$26,10,FALSE)</f>
        <v>0</v>
      </c>
      <c r="J101" s="188" cm="1">
        <f t="array" ref="J101">SUMPRODUCT(('Data for SPECIATE'!$C$5:$C$26='PM Protocol'!J$1)*('Data for SPECIATE'!$M$1:$AZ$1='PM Protocol'!$A101)*'Data for SPECIATE'!$M$5:$AZ$26)/VLOOKUP(J$1,'Data for SPECIATE'!$C$5:$L$26,10,FALSE)</f>
        <v>9.6030474138096298E-6</v>
      </c>
      <c r="K101" s="188" cm="1">
        <f t="array" ref="K101">SUMPRODUCT(('Data for SPECIATE'!$C$5:$C$26='PM Protocol'!K$1)*('Data for SPECIATE'!$M$1:$AZ$1='PM Protocol'!$A101)*'Data for SPECIATE'!$M$5:$AZ$26)/VLOOKUP(K$1,'Data for SPECIATE'!$C$5:$L$26,10,FALSE)</f>
        <v>0</v>
      </c>
      <c r="L101" s="188" cm="1">
        <f t="array" ref="L101">SUMPRODUCT(('Data for SPECIATE'!$C$5:$C$26='PM Protocol'!L$1)*('Data for SPECIATE'!$M$1:$AZ$1='PM Protocol'!$A101)*'Data for SPECIATE'!$M$5:$AZ$26)/VLOOKUP(L$1,'Data for SPECIATE'!$C$5:$L$26,10,FALSE)</f>
        <v>0</v>
      </c>
      <c r="M101" s="188" cm="1">
        <f t="array" ref="M101">SUMPRODUCT(('Data for SPECIATE'!$C$5:$C$26='PM Protocol'!M$1)*('Data for SPECIATE'!$M$1:$AZ$1='PM Protocol'!$A101)*'Data for SPECIATE'!$M$5:$AZ$26)/VLOOKUP(M$1,'Data for SPECIATE'!$C$5:$L$26,10,FALSE)</f>
        <v>1.0008524077678047E-5</v>
      </c>
      <c r="N101" s="188" cm="1">
        <f t="array" ref="N101">SUMPRODUCT(('Data for SPECIATE'!$C$5:$C$26='PM Protocol'!N$1)*('Data for SPECIATE'!$M$1:$AZ$1='PM Protocol'!$A101)*'Data for SPECIATE'!$M$5:$AZ$26)/VLOOKUP(N$1,'Data for SPECIATE'!$C$5:$L$26,10,FALSE)</f>
        <v>0</v>
      </c>
      <c r="O101" s="188" cm="1">
        <f t="array" ref="O101">SUMPRODUCT(('Data for SPECIATE'!$C$5:$C$26='PM Protocol'!O$1)*('Data for SPECIATE'!$M$1:$AZ$1='PM Protocol'!$A101)*'Data for SPECIATE'!$M$5:$AZ$26)/VLOOKUP(O$1,'Data for SPECIATE'!$C$5:$L$26,10,FALSE)</f>
        <v>0</v>
      </c>
      <c r="P101" s="188" cm="1">
        <f t="array" ref="P101">SUMPRODUCT(('Data for SPECIATE'!$C$5:$C$26='PM Protocol'!P$1)*('Data for SPECIATE'!$M$1:$AZ$1='PM Protocol'!$A101)*'Data for SPECIATE'!$M$5:$AZ$26)/VLOOKUP(P$1,'Data for SPECIATE'!$C$5:$L$26,10,FALSE)</f>
        <v>0</v>
      </c>
      <c r="Q101" s="188" cm="1">
        <f t="array" ref="Q101">SUMPRODUCT(('Data for SPECIATE'!$C$5:$C$26='PM Protocol'!Q$1)*('Data for SPECIATE'!$M$1:$AZ$1='PM Protocol'!$A101)*'Data for SPECIATE'!$M$5:$AZ$26)/VLOOKUP(Q$1,'Data for SPECIATE'!$C$5:$L$26,10,FALSE)</f>
        <v>3.6104822301715535E-5</v>
      </c>
      <c r="R101" s="188" cm="1">
        <f t="array" ref="R101">SUMPRODUCT(('Data for SPECIATE'!$C$5:$C$26='PM Protocol'!R$1)*('Data for SPECIATE'!$M$1:$AZ$1='PM Protocol'!$A101)*'Data for SPECIATE'!$M$5:$AZ$26)/SUMPRODUCT(('Data for SPECIATE'!$C$5:$C$26='PM Protocol'!R$1)*'Data for SPECIATE'!$M$5:$AZ$26)</f>
        <v>0</v>
      </c>
      <c r="S101" s="188" cm="1">
        <f t="array" ref="S101">SUMPRODUCT(('Data for SPECIATE'!$C$5:$C$26='PM Protocol'!S$1)*('Data for SPECIATE'!$M$1:$AZ$1='PM Protocol'!$A101)*'Data for SPECIATE'!$M$5:$AZ$26)/VLOOKUP(S$1,'Data for SPECIATE'!$C$5:$L$26,10,FALSE)</f>
        <v>7.5505695041266718E-6</v>
      </c>
      <c r="T101" s="188" cm="1">
        <f t="array" ref="T101">SUMPRODUCT(('Data for SPECIATE'!$C$5:$C$26='PM Protocol'!T$1)*('Data for SPECIATE'!$M$1:$AZ$1='PM Protocol'!$A101)*'Data for SPECIATE'!$M$5:$AZ$26)/VLOOKUP(T$1,'Data for SPECIATE'!$C$5:$L$26,10,FALSE)</f>
        <v>1.4797102881030205E-5</v>
      </c>
      <c r="U101" s="188" cm="1">
        <f t="array" ref="U101">SUMPRODUCT(('Data for SPECIATE'!$C$5:$C$26='PM Protocol'!U$1)*('Data for SPECIATE'!$M$1:$AZ$1='PM Protocol'!$A101)*'Data for SPECIATE'!$M$5:$AZ$26)/VLOOKUP(U$1,'Data for SPECIATE'!$C$5:$L$26,10,FALSE)</f>
        <v>0</v>
      </c>
      <c r="V101" s="188" cm="1">
        <f t="array" ref="V101">SUMPRODUCT(('Data for SPECIATE'!$C$5:$C$26='PM Protocol'!V$1)*('Data for SPECIATE'!$M$1:$AZ$1='PM Protocol'!$A101)*'Data for SPECIATE'!$M$5:$AZ$26)/VLOOKUP(V$1,'Data for SPECIATE'!$C$5:$L$26,10,FALSE)</f>
        <v>0</v>
      </c>
      <c r="W101" s="188" cm="1">
        <f t="array" ref="W101">SUMPRODUCT(('Data for SPECIATE'!$C$5:$C$26='PM Protocol'!W$1)*('Data for SPECIATE'!$M$1:$AZ$1='PM Protocol'!$A101)*'Data for SPECIATE'!$M$5:$AZ$26)/VLOOKUP(W$1,'Data for SPECIATE'!$C$5:$L$26,10,FALSE)</f>
        <v>8.777464237161912E-6</v>
      </c>
      <c r="X101" s="188" cm="1">
        <f t="array" ref="X101">SUMPRODUCT(('Data for SPECIATE'!$C$5:$C$26='PM Protocol'!X$1)*('Data for SPECIATE'!$M$1:$AZ$1='PM Protocol'!$A101)*'Data for SPECIATE'!$M$5:$AZ$26)/VLOOKUP(X$1,'Data for SPECIATE'!$C$5:$L$26,10,FALSE)</f>
        <v>0</v>
      </c>
      <c r="Y101" s="188" cm="1">
        <f t="array" ref="Y101">SUMPRODUCT(('Data for SPECIATE'!$C$5:$C$26='PM Protocol'!Y$1)*('Data for SPECIATE'!$M$1:$AZ$1='PM Protocol'!$A101)*'Data for SPECIATE'!$M$5:$AZ$26)/VLOOKUP(Y$1,'Data for SPECIATE'!$C$5:$L$26,10,FALSE)</f>
        <v>0</v>
      </c>
      <c r="Z101" s="188" cm="1">
        <f t="array" ref="Z101">SUMPRODUCT(('Data for SPECIATE'!$C$5:$C$26='PM Protocol'!Z$1)*('Data for SPECIATE'!$M$1:$AZ$1='PM Protocol'!$A101)*'Data for SPECIATE'!$M$5:$AZ$26)/VLOOKUP(Z$1,'Data for SPECIATE'!$C$5:$L$26,10,FALSE)</f>
        <v>0</v>
      </c>
    </row>
    <row r="102" spans="1:26">
      <c r="A102">
        <v>520</v>
      </c>
      <c r="B102" t="str">
        <f>HLOOKUP(A102,'Data for SPECIATE'!$M$1:$AZ$2,2,FALSE)</f>
        <v>XRF</v>
      </c>
      <c r="C102" s="191">
        <f>IFERROR(VLOOKUP(A102,Oxides!$A$2:$G$39,7,FALSE),0)</f>
        <v>0.11600000000000001</v>
      </c>
      <c r="D102" t="s">
        <v>656</v>
      </c>
      <c r="E102" s="188" cm="1">
        <f t="array" ref="E102">SUMPRODUCT(('Data for SPECIATE'!$C$5:$C$26='PM Protocol'!E$1)*('Data for SPECIATE'!$M$1:$AZ$1='PM Protocol'!$A102)*'Data for SPECIATE'!$M$5:$AZ$26)/VLOOKUP(E$1,'Data for SPECIATE'!$C$5:$L$26,10,FALSE)</f>
        <v>8.6794413741473115E-7</v>
      </c>
      <c r="F102" s="188" cm="1">
        <f t="array" ref="F102">SUMPRODUCT(('Data for SPECIATE'!$C$5:$C$26='PM Protocol'!F$1)*('Data for SPECIATE'!$M$1:$AZ$1='PM Protocol'!$A102)*'Data for SPECIATE'!$M$5:$AZ$26)/VLOOKUP(F$1,'Data for SPECIATE'!$C$5:$L$26,10,FALSE)</f>
        <v>0</v>
      </c>
      <c r="G102" s="188" cm="1">
        <f t="array" ref="G102">SUMPRODUCT(('Data for SPECIATE'!$C$5:$C$26='PM Protocol'!G$1)*('Data for SPECIATE'!$M$1:$AZ$1='PM Protocol'!$A102)*'Data for SPECIATE'!$M$5:$AZ$26)/VLOOKUP(G$1,'Data for SPECIATE'!$C$5:$L$26,10,FALSE)</f>
        <v>0</v>
      </c>
      <c r="H102" s="188" cm="1">
        <f t="array" ref="H102">SUMPRODUCT(('Data for SPECIATE'!$C$5:$C$26='PM Protocol'!H$1)*('Data for SPECIATE'!$M$1:$AZ$1='PM Protocol'!$A102)*'Data for SPECIATE'!$M$5:$AZ$26)/VLOOKUP(H$1,'Data for SPECIATE'!$C$5:$L$26,10,FALSE)</f>
        <v>1.8453339495679366E-6</v>
      </c>
      <c r="I102" s="188" cm="1">
        <f t="array" ref="I102">SUMPRODUCT(('Data for SPECIATE'!$C$5:$C$26='PM Protocol'!I$1)*('Data for SPECIATE'!$M$1:$AZ$1='PM Protocol'!$A102)*'Data for SPECIATE'!$M$5:$AZ$26)/VLOOKUP(I$1,'Data for SPECIATE'!$C$5:$L$26,10,FALSE)</f>
        <v>1.7258662091979956E-5</v>
      </c>
      <c r="J102" s="188" cm="1">
        <f t="array" ref="J102">SUMPRODUCT(('Data for SPECIATE'!$C$5:$C$26='PM Protocol'!J$1)*('Data for SPECIATE'!$M$1:$AZ$1='PM Protocol'!$A102)*'Data for SPECIATE'!$M$5:$AZ$26)/VLOOKUP(J$1,'Data for SPECIATE'!$C$5:$L$26,10,FALSE)</f>
        <v>0</v>
      </c>
      <c r="K102" s="188" cm="1">
        <f t="array" ref="K102">SUMPRODUCT(('Data for SPECIATE'!$C$5:$C$26='PM Protocol'!K$1)*('Data for SPECIATE'!$M$1:$AZ$1='PM Protocol'!$A102)*'Data for SPECIATE'!$M$5:$AZ$26)/VLOOKUP(K$1,'Data for SPECIATE'!$C$5:$L$26,10,FALSE)</f>
        <v>1.6523994038391701E-5</v>
      </c>
      <c r="L102" s="188" cm="1">
        <f t="array" ref="L102">SUMPRODUCT(('Data for SPECIATE'!$C$5:$C$26='PM Protocol'!L$1)*('Data for SPECIATE'!$M$1:$AZ$1='PM Protocol'!$A102)*'Data for SPECIATE'!$M$5:$AZ$26)/VLOOKUP(L$1,'Data for SPECIATE'!$C$5:$L$26,10,FALSE)</f>
        <v>0</v>
      </c>
      <c r="M102" s="188" cm="1">
        <f t="array" ref="M102">SUMPRODUCT(('Data for SPECIATE'!$C$5:$C$26='PM Protocol'!M$1)*('Data for SPECIATE'!$M$1:$AZ$1='PM Protocol'!$A102)*'Data for SPECIATE'!$M$5:$AZ$26)/VLOOKUP(M$1,'Data for SPECIATE'!$C$5:$L$26,10,FALSE)</f>
        <v>2.4439622409053954E-5</v>
      </c>
      <c r="N102" s="188" cm="1">
        <f t="array" ref="N102">SUMPRODUCT(('Data for SPECIATE'!$C$5:$C$26='PM Protocol'!N$1)*('Data for SPECIATE'!$M$1:$AZ$1='PM Protocol'!$A102)*'Data for SPECIATE'!$M$5:$AZ$26)/VLOOKUP(N$1,'Data for SPECIATE'!$C$5:$L$26,10,FALSE)</f>
        <v>0</v>
      </c>
      <c r="O102" s="188" cm="1">
        <f t="array" ref="O102">SUMPRODUCT(('Data for SPECIATE'!$C$5:$C$26='PM Protocol'!O$1)*('Data for SPECIATE'!$M$1:$AZ$1='PM Protocol'!$A102)*'Data for SPECIATE'!$M$5:$AZ$26)/VLOOKUP(O$1,'Data for SPECIATE'!$C$5:$L$26,10,FALSE)</f>
        <v>2.2011673874391306E-5</v>
      </c>
      <c r="P102" s="188" cm="1">
        <f t="array" ref="P102">SUMPRODUCT(('Data for SPECIATE'!$C$5:$C$26='PM Protocol'!P$1)*('Data for SPECIATE'!$M$1:$AZ$1='PM Protocol'!$A102)*'Data for SPECIATE'!$M$5:$AZ$26)/VLOOKUP(P$1,'Data for SPECIATE'!$C$5:$L$26,10,FALSE)</f>
        <v>0</v>
      </c>
      <c r="Q102" s="188" cm="1">
        <f t="array" ref="Q102">SUMPRODUCT(('Data for SPECIATE'!$C$5:$C$26='PM Protocol'!Q$1)*('Data for SPECIATE'!$M$1:$AZ$1='PM Protocol'!$A102)*'Data for SPECIATE'!$M$5:$AZ$26)/VLOOKUP(Q$1,'Data for SPECIATE'!$C$5:$L$26,10,FALSE)</f>
        <v>1.5710039625131949E-5</v>
      </c>
      <c r="R102" s="188" cm="1">
        <f t="array" ref="R102">SUMPRODUCT(('Data for SPECIATE'!$C$5:$C$26='PM Protocol'!R$1)*('Data for SPECIATE'!$M$1:$AZ$1='PM Protocol'!$A102)*'Data for SPECIATE'!$M$5:$AZ$26)/SUMPRODUCT(('Data for SPECIATE'!$C$5:$C$26='PM Protocol'!R$1)*'Data for SPECIATE'!$M$5:$AZ$26)</f>
        <v>5.3478034548792231E-5</v>
      </c>
      <c r="S102" s="188" cm="1">
        <f t="array" ref="S102">SUMPRODUCT(('Data for SPECIATE'!$C$5:$C$26='PM Protocol'!S$1)*('Data for SPECIATE'!$M$1:$AZ$1='PM Protocol'!$A102)*'Data for SPECIATE'!$M$5:$AZ$26)/VLOOKUP(S$1,'Data for SPECIATE'!$C$5:$L$26,10,FALSE)</f>
        <v>0</v>
      </c>
      <c r="T102" s="188" cm="1">
        <f t="array" ref="T102">SUMPRODUCT(('Data for SPECIATE'!$C$5:$C$26='PM Protocol'!T$1)*('Data for SPECIATE'!$M$1:$AZ$1='PM Protocol'!$A102)*'Data for SPECIATE'!$M$5:$AZ$26)/VLOOKUP(T$1,'Data for SPECIATE'!$C$5:$L$26,10,FALSE)</f>
        <v>0</v>
      </c>
      <c r="U102" s="188" cm="1">
        <f t="array" ref="U102">SUMPRODUCT(('Data for SPECIATE'!$C$5:$C$26='PM Protocol'!U$1)*('Data for SPECIATE'!$M$1:$AZ$1='PM Protocol'!$A102)*'Data for SPECIATE'!$M$5:$AZ$26)/VLOOKUP(U$1,'Data for SPECIATE'!$C$5:$L$26,10,FALSE)</f>
        <v>0</v>
      </c>
      <c r="V102" s="188" cm="1">
        <f t="array" ref="V102">SUMPRODUCT(('Data for SPECIATE'!$C$5:$C$26='PM Protocol'!V$1)*('Data for SPECIATE'!$M$1:$AZ$1='PM Protocol'!$A102)*'Data for SPECIATE'!$M$5:$AZ$26)/VLOOKUP(V$1,'Data for SPECIATE'!$C$5:$L$26,10,FALSE)</f>
        <v>0</v>
      </c>
      <c r="W102" s="188" cm="1">
        <f t="array" ref="W102">SUMPRODUCT(('Data for SPECIATE'!$C$5:$C$26='PM Protocol'!W$1)*('Data for SPECIATE'!$M$1:$AZ$1='PM Protocol'!$A102)*'Data for SPECIATE'!$M$5:$AZ$26)/VLOOKUP(W$1,'Data for SPECIATE'!$C$5:$L$26,10,FALSE)</f>
        <v>4.4823816060389437E-5</v>
      </c>
      <c r="X102" s="188" cm="1">
        <f t="array" ref="X102">SUMPRODUCT(('Data for SPECIATE'!$C$5:$C$26='PM Protocol'!X$1)*('Data for SPECIATE'!$M$1:$AZ$1='PM Protocol'!$A102)*'Data for SPECIATE'!$M$5:$AZ$26)/VLOOKUP(X$1,'Data for SPECIATE'!$C$5:$L$26,10,FALSE)</f>
        <v>0</v>
      </c>
      <c r="Y102" s="188" cm="1">
        <f t="array" ref="Y102">SUMPRODUCT(('Data for SPECIATE'!$C$5:$C$26='PM Protocol'!Y$1)*('Data for SPECIATE'!$M$1:$AZ$1='PM Protocol'!$A102)*'Data for SPECIATE'!$M$5:$AZ$26)/VLOOKUP(Y$1,'Data for SPECIATE'!$C$5:$L$26,10,FALSE)</f>
        <v>0</v>
      </c>
      <c r="Z102" s="188" cm="1">
        <f t="array" ref="Z102">SUMPRODUCT(('Data for SPECIATE'!$C$5:$C$26='PM Protocol'!Z$1)*('Data for SPECIATE'!$M$1:$AZ$1='PM Protocol'!$A102)*'Data for SPECIATE'!$M$5:$AZ$26)/VLOOKUP(Z$1,'Data for SPECIATE'!$C$5:$L$26,10,FALSE)</f>
        <v>7.8220854715804077E-6</v>
      </c>
    </row>
    <row r="103" spans="1:26" s="176" customFormat="1">
      <c r="A103" s="176">
        <v>2670</v>
      </c>
      <c r="B103" s="176" t="s">
        <v>676</v>
      </c>
      <c r="C103" s="192"/>
      <c r="D103" s="176" t="s">
        <v>737</v>
      </c>
      <c r="E103" s="190">
        <f t="shared" ref="E103:O103" si="11">IF(SUMPRODUCT(E$12:E$102,$C$12:$C$102)-(E14*16/96)&lt;0,0,SUMPRODUCT(E$12:E$102,$C$12:$C$102)-(E14*16/96))</f>
        <v>1.5721476535764106E-4</v>
      </c>
      <c r="F103" s="190">
        <f t="shared" si="11"/>
        <v>7.3237265593347899E-4</v>
      </c>
      <c r="G103" s="190">
        <f t="shared" si="11"/>
        <v>0</v>
      </c>
      <c r="H103" s="190">
        <f t="shared" si="11"/>
        <v>8.0348912204688335E-4</v>
      </c>
      <c r="I103" s="190">
        <f t="shared" si="11"/>
        <v>5.0226186439824357E-4</v>
      </c>
      <c r="J103" s="190">
        <f t="shared" si="11"/>
        <v>1.876636507235443E-4</v>
      </c>
      <c r="K103" s="190">
        <f t="shared" si="11"/>
        <v>0</v>
      </c>
      <c r="L103" s="190">
        <f t="shared" si="11"/>
        <v>4.81948103857989E-4</v>
      </c>
      <c r="M103" s="190">
        <f t="shared" si="11"/>
        <v>8.6991208270998505E-4</v>
      </c>
      <c r="N103" s="190">
        <f t="shared" si="11"/>
        <v>1.9793108822285964E-4</v>
      </c>
      <c r="O103" s="190">
        <f t="shared" si="11"/>
        <v>2.787939559155377E-4</v>
      </c>
      <c r="P103" s="190">
        <f t="shared" ref="P103" si="12">0.24*P84</f>
        <v>3.2591664955076414E-5</v>
      </c>
      <c r="Q103" s="190">
        <f t="shared" ref="Q103" si="13">0.24*Q84</f>
        <v>2.4487985445561139E-4</v>
      </c>
      <c r="R103" s="190">
        <f t="shared" ref="R103:Z103" si="14">IF(SUMPRODUCT(R$12:R$102,$C$12:$C$102)-(R14*16/96)&lt;0,0,SUMPRODUCT(R$12:R$102,$C$12:$C$102)-(R14*16/96))</f>
        <v>2.8438126264146261E-3</v>
      </c>
      <c r="S103" s="190">
        <f t="shared" si="14"/>
        <v>1.0614051349061039E-4</v>
      </c>
      <c r="T103" s="190">
        <f t="shared" si="14"/>
        <v>4.3501146750496216E-3</v>
      </c>
      <c r="U103" s="190">
        <f t="shared" si="14"/>
        <v>0</v>
      </c>
      <c r="V103" s="190">
        <f t="shared" si="14"/>
        <v>2.3073510395815334E-3</v>
      </c>
      <c r="W103" s="190">
        <f t="shared" si="14"/>
        <v>1.426084368880988E-3</v>
      </c>
      <c r="X103" s="190">
        <f t="shared" si="14"/>
        <v>2.0632598109509488E-3</v>
      </c>
      <c r="Y103" s="190">
        <f t="shared" si="14"/>
        <v>9.6328690202218551E-4</v>
      </c>
      <c r="Z103" s="190">
        <f t="shared" si="14"/>
        <v>0</v>
      </c>
    </row>
    <row r="104" spans="1:26" s="176" customFormat="1">
      <c r="A104" s="176">
        <v>2671</v>
      </c>
      <c r="B104" s="176" t="s">
        <v>676</v>
      </c>
      <c r="C104" s="192"/>
      <c r="D104" s="176" t="s">
        <v>738</v>
      </c>
      <c r="E104" s="190">
        <v>0</v>
      </c>
      <c r="F104" s="190">
        <v>0</v>
      </c>
      <c r="G104" s="190">
        <v>0</v>
      </c>
      <c r="H104" s="190">
        <v>0</v>
      </c>
      <c r="I104" s="190">
        <v>0</v>
      </c>
      <c r="J104" s="190">
        <v>0</v>
      </c>
      <c r="K104" s="190">
        <v>0</v>
      </c>
      <c r="L104" s="190">
        <v>0</v>
      </c>
      <c r="M104" s="190">
        <v>0</v>
      </c>
      <c r="N104" s="190">
        <v>0</v>
      </c>
      <c r="O104" s="190">
        <v>0</v>
      </c>
      <c r="P104" s="190">
        <v>0</v>
      </c>
      <c r="Q104" s="190">
        <v>0</v>
      </c>
      <c r="R104" s="190">
        <v>0</v>
      </c>
      <c r="S104" s="190">
        <v>0</v>
      </c>
      <c r="T104" s="190">
        <v>0</v>
      </c>
      <c r="U104" s="190">
        <v>0</v>
      </c>
      <c r="V104" s="190">
        <v>0</v>
      </c>
      <c r="W104" s="190">
        <v>0</v>
      </c>
      <c r="X104" s="190">
        <v>0</v>
      </c>
      <c r="Y104" s="190">
        <v>0</v>
      </c>
      <c r="Z104" s="190">
        <v>0</v>
      </c>
    </row>
    <row r="105" spans="1:26">
      <c r="A105" t="s">
        <v>739</v>
      </c>
      <c r="E105" s="188"/>
      <c r="F105" s="188"/>
      <c r="G105" s="188"/>
      <c r="H105" s="188"/>
      <c r="I105" s="188"/>
      <c r="J105" s="188"/>
      <c r="K105" s="188"/>
    </row>
    <row r="106" spans="1:26">
      <c r="D106" t="s">
        <v>740</v>
      </c>
      <c r="E106" s="201">
        <v>0.93249467258809471</v>
      </c>
      <c r="F106" s="188">
        <v>1</v>
      </c>
      <c r="G106" s="188">
        <v>1</v>
      </c>
      <c r="H106" s="188">
        <v>1</v>
      </c>
      <c r="I106" s="188">
        <v>1</v>
      </c>
      <c r="J106" s="188">
        <v>1</v>
      </c>
      <c r="K106" s="188">
        <v>1</v>
      </c>
      <c r="L106" s="188">
        <v>1</v>
      </c>
      <c r="M106" s="188">
        <v>1</v>
      </c>
      <c r="N106" s="188">
        <v>1</v>
      </c>
      <c r="O106" s="188">
        <v>1</v>
      </c>
      <c r="P106" s="188">
        <v>1</v>
      </c>
      <c r="Q106" s="201">
        <v>0.49368589750743774</v>
      </c>
      <c r="R106" s="201">
        <v>0.65828259521401078</v>
      </c>
      <c r="S106" s="188">
        <v>1</v>
      </c>
      <c r="T106" s="188">
        <v>1</v>
      </c>
      <c r="U106" s="201">
        <v>0.93723611116956507</v>
      </c>
      <c r="V106" s="188">
        <v>1</v>
      </c>
      <c r="W106" s="188">
        <v>1</v>
      </c>
      <c r="X106" s="188">
        <v>1</v>
      </c>
      <c r="Y106" s="188">
        <v>1</v>
      </c>
      <c r="Z106" s="188">
        <v>1</v>
      </c>
    </row>
    <row r="108" spans="1:26">
      <c r="I108" s="172"/>
      <c r="R108" t="s">
        <v>741</v>
      </c>
    </row>
    <row r="109" spans="1:26">
      <c r="I109" s="172"/>
    </row>
    <row r="110" spans="1:26">
      <c r="I110" s="172"/>
    </row>
    <row r="111" spans="1:26">
      <c r="I111" s="172"/>
    </row>
    <row r="112" spans="1:26">
      <c r="I112" s="172"/>
    </row>
    <row r="113" spans="9:9">
      <c r="I113" s="172"/>
    </row>
    <row r="114" spans="9:9">
      <c r="I114" s="172"/>
    </row>
    <row r="115" spans="9:9">
      <c r="I115" s="172"/>
    </row>
    <row r="116" spans="9:9">
      <c r="I116" s="172"/>
    </row>
    <row r="117" spans="9:9">
      <c r="I117" s="172"/>
    </row>
    <row r="118" spans="9:9">
      <c r="I118" s="172"/>
    </row>
    <row r="119" spans="9:9">
      <c r="I119" s="172"/>
    </row>
    <row r="120" spans="9:9">
      <c r="I120" s="172"/>
    </row>
    <row r="121" spans="9:9">
      <c r="I121" s="172"/>
    </row>
    <row r="122" spans="9:9">
      <c r="I122" s="172"/>
    </row>
    <row r="123" spans="9:9">
      <c r="I123" s="172"/>
    </row>
    <row r="124" spans="9:9">
      <c r="I124" s="172"/>
    </row>
    <row r="125" spans="9:9">
      <c r="I125" s="172"/>
    </row>
    <row r="126" spans="9:9">
      <c r="I126" s="172"/>
    </row>
    <row r="127" spans="9:9">
      <c r="I127" s="172"/>
    </row>
    <row r="128" spans="9:9">
      <c r="I128" s="172"/>
    </row>
    <row r="129" spans="9:9">
      <c r="I129" s="172"/>
    </row>
    <row r="130" spans="9:9">
      <c r="I130" s="172"/>
    </row>
    <row r="131" spans="9:9">
      <c r="I131" s="172"/>
    </row>
    <row r="132" spans="9:9">
      <c r="I132" s="172"/>
    </row>
    <row r="133" spans="9:9">
      <c r="I133" s="172"/>
    </row>
    <row r="134" spans="9:9">
      <c r="I134" s="172"/>
    </row>
    <row r="135" spans="9:9">
      <c r="I135" s="172"/>
    </row>
    <row r="136" spans="9:9">
      <c r="I136" s="172"/>
    </row>
    <row r="137" spans="9:9">
      <c r="I137" s="172"/>
    </row>
    <row r="138" spans="9:9">
      <c r="I138" s="172"/>
    </row>
    <row r="139" spans="9:9">
      <c r="I139" s="172"/>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01BCF-201F-47C1-99A7-FD40E1954827}">
  <dimension ref="A1:O103"/>
  <sheetViews>
    <sheetView zoomScale="85" zoomScaleNormal="85" workbookViewId="0">
      <selection activeCell="B13" sqref="B13"/>
    </sheetView>
  </sheetViews>
  <sheetFormatPr defaultRowHeight="15"/>
  <cols>
    <col min="1" max="1" width="10.7109375" bestFit="1" customWidth="1"/>
    <col min="2" max="2" width="10.7109375" customWidth="1"/>
    <col min="3" max="3" width="19.7109375" bestFit="1" customWidth="1"/>
    <col min="4" max="15" width="20.28515625" customWidth="1"/>
  </cols>
  <sheetData>
    <row r="1" spans="1:15">
      <c r="C1" s="268" t="s">
        <v>742</v>
      </c>
      <c r="D1" s="279">
        <v>95862</v>
      </c>
      <c r="E1" s="280">
        <v>95863</v>
      </c>
      <c r="F1" s="280">
        <v>95864</v>
      </c>
      <c r="G1" s="280">
        <v>95865</v>
      </c>
      <c r="H1" s="280">
        <v>95866</v>
      </c>
      <c r="I1" s="280">
        <v>95867</v>
      </c>
      <c r="J1" s="280">
        <v>95868</v>
      </c>
      <c r="K1" s="280">
        <v>95869</v>
      </c>
      <c r="L1" s="280">
        <v>95870</v>
      </c>
      <c r="M1" s="280">
        <v>95871</v>
      </c>
      <c r="N1" s="280">
        <v>95872</v>
      </c>
      <c r="O1" s="281">
        <v>95873</v>
      </c>
    </row>
    <row r="2" spans="1:15" ht="61.5" customHeight="1" thickBot="1">
      <c r="C2" s="269" t="s">
        <v>743</v>
      </c>
      <c r="D2" s="267" t="s">
        <v>744</v>
      </c>
      <c r="E2" s="265" t="s">
        <v>745</v>
      </c>
      <c r="F2" s="265" t="s">
        <v>746</v>
      </c>
      <c r="G2" s="265" t="s">
        <v>747</v>
      </c>
      <c r="H2" s="265" t="s">
        <v>748</v>
      </c>
      <c r="I2" s="265" t="s">
        <v>749</v>
      </c>
      <c r="J2" s="265" t="s">
        <v>750</v>
      </c>
      <c r="K2" s="265" t="s">
        <v>751</v>
      </c>
      <c r="L2" s="265" t="s">
        <v>752</v>
      </c>
      <c r="M2" s="265" t="s">
        <v>753</v>
      </c>
      <c r="N2" s="265" t="s">
        <v>754</v>
      </c>
      <c r="O2" s="266" t="s">
        <v>755</v>
      </c>
    </row>
    <row r="3" spans="1:15">
      <c r="C3" s="268" t="s">
        <v>664</v>
      </c>
      <c r="D3" s="273">
        <f>AVERAGEIFS('PM Protocol'!$E4:$Z4,'PM Protocol'!$E$9:$Z$9,"="&amp;Composites!D$8,'PM Protocol'!$E$10:$Z$10,"="&amp;Composites!D$9)</f>
        <v>1.9958150621790303</v>
      </c>
      <c r="E3" s="273">
        <f>AVERAGEIFS('PM Protocol'!$E4:$Z4,'PM Protocol'!$E$9:$Z$9,"="&amp;Composites!E$8,'PM Protocol'!$E$10:$Z$10,"="&amp;Composites!E$9)</f>
        <v>1.9577310904767824</v>
      </c>
      <c r="F3" s="273">
        <f>AVERAGEIFS('PM Protocol'!$E4:$Z4,'PM Protocol'!$E$9:$Z$9,"="&amp;Composites!F$8,'PM Protocol'!$E$10:$Z$10,"="&amp;Composites!F$9)</f>
        <v>1.9643464126858645</v>
      </c>
      <c r="G3" s="273">
        <f>AVERAGEIFS('PM Protocol'!$E4:$Z4,'PM Protocol'!$E$9:$Z$9,"="&amp;Composites!G$8,'PM Protocol'!$E$10:$Z$10,"="&amp;Composites!G$9)</f>
        <v>1.9823186943222266</v>
      </c>
      <c r="H3" s="273">
        <f>AVERAGEIFS('PM Protocol'!$E4:$Z4,'PM Protocol'!$E$9:$Z$9,"="&amp;Composites!H$8,'PM Protocol'!$E$10:$Z$10,"="&amp;Composites!H$9)</f>
        <v>1.8427525356346741</v>
      </c>
      <c r="I3" s="273">
        <f>AVERAGEIFS('PM Protocol'!$E4:$Z4,'PM Protocol'!$E$9:$Z$9,"="&amp;Composites!I$8,'PM Protocol'!$E$10:$Z$10,"="&amp;Composites!I$9)</f>
        <v>1.8392284349301562</v>
      </c>
      <c r="J3" s="290">
        <f>0.58*D3+0.42*E3</f>
        <v>1.979819794064086</v>
      </c>
      <c r="K3" s="290">
        <f>0.58*F3+0.42*G3</f>
        <v>1.9718947709731365</v>
      </c>
      <c r="L3" s="290">
        <f>0.58*H3+0.42*I3</f>
        <v>1.8412724133387766</v>
      </c>
      <c r="M3" s="290">
        <f>0.6*D3+0.35*F3+0.05*H3</f>
        <v>1.9771479085292043</v>
      </c>
      <c r="N3" s="290">
        <f>0.6*E3+0.35*G3+0.05*I3</f>
        <v>1.9604116190453564</v>
      </c>
      <c r="O3" s="291">
        <f>0.58*M3+0.42*N3</f>
        <v>1.970118666945988</v>
      </c>
    </row>
    <row r="4" spans="1:15">
      <c r="C4" s="270" t="s">
        <v>665</v>
      </c>
      <c r="D4" s="273">
        <f>AVERAGEIFS('PM Protocol'!$E5:$Z5,'PM Protocol'!$E$9:$Z$9,"="&amp;Composites!D$8,'PM Protocol'!$E$10:$Z$10,"="&amp;Composites!D$9)</f>
        <v>25.934433333333335</v>
      </c>
      <c r="E4" s="273">
        <f>AVERAGEIFS('PM Protocol'!$E5:$Z5,'PM Protocol'!$E$9:$Z$9,"="&amp;Composites!E$8,'PM Protocol'!$E$10:$Z$10,"="&amp;Composites!E$9)</f>
        <v>26.284433333333329</v>
      </c>
      <c r="F4" s="273">
        <f>AVERAGEIFS('PM Protocol'!$E5:$Z5,'PM Protocol'!$E$9:$Z$9,"="&amp;Composites!F$8,'PM Protocol'!$E$10:$Z$10,"="&amp;Composites!F$9)</f>
        <v>27.977650000000001</v>
      </c>
      <c r="G4" s="273">
        <f>AVERAGEIFS('PM Protocol'!$E5:$Z5,'PM Protocol'!$E$9:$Z$9,"="&amp;Composites!G$8,'PM Protocol'!$E$10:$Z$10,"="&amp;Composites!G$9)</f>
        <v>25.977699999999999</v>
      </c>
      <c r="H4" s="273">
        <f>AVERAGEIFS('PM Protocol'!$E5:$Z5,'PM Protocol'!$E$9:$Z$9,"="&amp;Composites!H$8,'PM Protocol'!$E$10:$Z$10,"="&amp;Composites!H$9)</f>
        <v>29.055160000000001</v>
      </c>
      <c r="I4" s="273">
        <f>AVERAGEIFS('PM Protocol'!$E5:$Z5,'PM Protocol'!$E$9:$Z$9,"="&amp;Composites!I$8,'PM Protocol'!$E$10:$Z$10,"="&amp;Composites!I$9)</f>
        <v>28.558783333333334</v>
      </c>
      <c r="J4" s="290">
        <f t="shared" ref="J4:J7" si="0">0.58*D4+0.42*E4</f>
        <v>26.081433333333329</v>
      </c>
      <c r="K4" s="290">
        <f t="shared" ref="K4:K7" si="1">0.58*F4+0.42*G4</f>
        <v>27.137670999999997</v>
      </c>
      <c r="L4" s="290">
        <f t="shared" ref="L4:L7" si="2">0.58*H4+0.42*I4</f>
        <v>28.846681799999999</v>
      </c>
      <c r="M4" s="290">
        <f t="shared" ref="M4:M7" si="3">0.6*D4+0.35*F4+0.05*H4</f>
        <v>26.805595499999999</v>
      </c>
      <c r="N4" s="290">
        <f t="shared" ref="N4:N7" si="4">0.6*E4+0.35*G4+0.05*I4</f>
        <v>26.290794166666664</v>
      </c>
      <c r="O4" s="291">
        <f t="shared" ref="O4:O7" si="5">0.58*M4+0.42*N4</f>
        <v>26.589378939999996</v>
      </c>
    </row>
    <row r="5" spans="1:15">
      <c r="C5" s="270" t="s">
        <v>666</v>
      </c>
      <c r="D5" s="273">
        <f>AVERAGEIFS('PM Protocol'!$E6:$Z6,'PM Protocol'!$E$9:$Z$9,"="&amp;Composites!D$8,'PM Protocol'!$E$10:$Z$10,"="&amp;Composites!D$9)</f>
        <v>416.07506381341614</v>
      </c>
      <c r="E5" s="273">
        <f>AVERAGEIFS('PM Protocol'!$E6:$Z6,'PM Protocol'!$E$9:$Z$9,"="&amp;Composites!E$8,'PM Protocol'!$E$10:$Z$10,"="&amp;Composites!E$9)</f>
        <v>3799.0678284697074</v>
      </c>
      <c r="F5" s="273">
        <f>AVERAGEIFS('PM Protocol'!$E6:$Z6,'PM Protocol'!$E$9:$Z$9,"="&amp;Composites!F$8,'PM Protocol'!$E$10:$Z$10,"="&amp;Composites!F$9)</f>
        <v>2687.6414928311228</v>
      </c>
      <c r="G5" s="273">
        <f>AVERAGEIFS('PM Protocol'!$E6:$Z6,'PM Protocol'!$E$9:$Z$9,"="&amp;Composites!G$8,'PM Protocol'!$E$10:$Z$10,"="&amp;Composites!G$9)</f>
        <v>5574.1599583202524</v>
      </c>
      <c r="H5" s="273">
        <f>AVERAGEIFS('PM Protocol'!$E6:$Z6,'PM Protocol'!$E$9:$Z$9,"="&amp;Composites!H$8,'PM Protocol'!$E$10:$Z$10,"="&amp;Composites!H$9)</f>
        <v>14864.949406511074</v>
      </c>
      <c r="I5" s="273">
        <f>AVERAGEIFS('PM Protocol'!$E6:$Z6,'PM Protocol'!$E$9:$Z$9,"="&amp;Composites!I$8,'PM Protocol'!$E$10:$Z$10,"="&amp;Composites!I$9)</f>
        <v>23948.802722024353</v>
      </c>
      <c r="J5" s="290">
        <f t="shared" si="0"/>
        <v>1836.9320249690584</v>
      </c>
      <c r="K5" s="290">
        <f t="shared" si="1"/>
        <v>3899.9792483365572</v>
      </c>
      <c r="L5" s="290">
        <f t="shared" si="2"/>
        <v>18680.167799026651</v>
      </c>
      <c r="M5" s="290">
        <f t="shared" si="3"/>
        <v>1933.5670311044964</v>
      </c>
      <c r="N5" s="290">
        <f t="shared" si="4"/>
        <v>5427.8368185951304</v>
      </c>
      <c r="O5" s="291">
        <f t="shared" si="5"/>
        <v>3401.1603418505629</v>
      </c>
    </row>
    <row r="6" spans="1:15">
      <c r="C6" s="270" t="s">
        <v>667</v>
      </c>
      <c r="D6" s="273">
        <f>AVERAGEIFS('PM Protocol'!$E7:$Z7,'PM Protocol'!$E$9:$Z$9,"="&amp;Composites!D$8,'PM Protocol'!$E$10:$Z$10,"="&amp;Composites!D$9)</f>
        <v>185.82159954675657</v>
      </c>
      <c r="E6" s="273">
        <f>AVERAGEIFS('PM Protocol'!$E7:$Z7,'PM Protocol'!$E$9:$Z$9,"="&amp;Composites!E$8,'PM Protocol'!$E$10:$Z$10,"="&amp;Composites!E$9)</f>
        <v>1906.1415158575116</v>
      </c>
      <c r="F6" s="273">
        <f>AVERAGEIFS('PM Protocol'!$E7:$Z7,'PM Protocol'!$E$9:$Z$9,"="&amp;Composites!F$8,'PM Protocol'!$E$10:$Z$10,"="&amp;Composites!F$9)</f>
        <v>848.78613962694749</v>
      </c>
      <c r="G6" s="273">
        <f>AVERAGEIFS('PM Protocol'!$E7:$Z7,'PM Protocol'!$E$9:$Z$9,"="&amp;Composites!G$8,'PM Protocol'!$E$10:$Z$10,"="&amp;Composites!G$9)</f>
        <v>2766.9977775984698</v>
      </c>
      <c r="H6" s="273">
        <f>AVERAGEIFS('PM Protocol'!$E7:$Z7,'PM Protocol'!$E$9:$Z$9,"="&amp;Composites!H$8,'PM Protocol'!$E$10:$Z$10,"="&amp;Composites!H$9)</f>
        <v>9027.9750891169788</v>
      </c>
      <c r="I6" s="273">
        <f>AVERAGEIFS('PM Protocol'!$E7:$Z7,'PM Protocol'!$E$9:$Z$9,"="&amp;Composites!I$8,'PM Protocol'!$E$10:$Z$10,"="&amp;Composites!I$9)</f>
        <v>12753.695254896867</v>
      </c>
      <c r="J6" s="290">
        <f t="shared" si="0"/>
        <v>908.35596439727374</v>
      </c>
      <c r="K6" s="290">
        <f t="shared" si="1"/>
        <v>1654.4350275749869</v>
      </c>
      <c r="L6" s="290">
        <f t="shared" si="2"/>
        <v>10592.777558744532</v>
      </c>
      <c r="M6" s="290">
        <f t="shared" si="3"/>
        <v>859.96686305333446</v>
      </c>
      <c r="N6" s="290">
        <f t="shared" si="4"/>
        <v>2749.8188944188146</v>
      </c>
      <c r="O6" s="291">
        <f t="shared" si="5"/>
        <v>1653.7047162268361</v>
      </c>
    </row>
    <row r="7" spans="1:15">
      <c r="C7" s="270" t="s">
        <v>668</v>
      </c>
      <c r="D7" s="273">
        <f>AVERAGEIFS('PM Protocol'!$E8:$Z8,'PM Protocol'!$E$9:$Z$9,"="&amp;Composites!D$8,'PM Protocol'!$E$10:$Z$10,"="&amp;Composites!D$9)</f>
        <v>0.63835019693309203</v>
      </c>
      <c r="E7" s="273">
        <f>AVERAGEIFS('PM Protocol'!$E8:$Z8,'PM Protocol'!$E$9:$Z$9,"="&amp;Composites!E$8,'PM Protocol'!$E$10:$Z$10,"="&amp;Composites!E$9)</f>
        <v>7.3451586159843956</v>
      </c>
      <c r="F7" s="273">
        <f>AVERAGEIFS('PM Protocol'!$E8:$Z8,'PM Protocol'!$E$9:$Z$9,"="&amp;Composites!F$8,'PM Protocol'!$E$10:$Z$10,"="&amp;Composites!F$9)</f>
        <v>1.6304535066579064</v>
      </c>
      <c r="G7" s="273">
        <f>AVERAGEIFS('PM Protocol'!$E8:$Z8,'PM Protocol'!$E$9:$Z$9,"="&amp;Composites!G$8,'PM Protocol'!$E$10:$Z$10,"="&amp;Composites!G$9)</f>
        <v>6.2725869249441573</v>
      </c>
      <c r="H7" s="273">
        <f>AVERAGEIFS('PM Protocol'!$E8:$Z8,'PM Protocol'!$E$9:$Z$9,"="&amp;Composites!H$8,'PM Protocol'!$E$10:$Z$10,"="&amp;Composites!H$9)</f>
        <v>7.9955010469142449</v>
      </c>
      <c r="I7" s="273">
        <f>AVERAGEIFS('PM Protocol'!$E8:$Z8,'PM Protocol'!$E$9:$Z$9,"="&amp;Composites!I$8,'PM Protocol'!$E$10:$Z$10,"="&amp;Composites!I$9)</f>
        <v>12.620156716975814</v>
      </c>
      <c r="J7" s="290">
        <f t="shared" si="0"/>
        <v>3.4552097329346392</v>
      </c>
      <c r="K7" s="290">
        <f t="shared" si="1"/>
        <v>3.5801495423381318</v>
      </c>
      <c r="L7" s="290">
        <f t="shared" si="2"/>
        <v>9.937856428340103</v>
      </c>
      <c r="M7" s="290">
        <f t="shared" si="3"/>
        <v>1.3534438978358347</v>
      </c>
      <c r="N7" s="290">
        <f t="shared" si="4"/>
        <v>7.2335084291698832</v>
      </c>
      <c r="O7" s="291">
        <f t="shared" si="5"/>
        <v>3.8230710009961353</v>
      </c>
    </row>
    <row r="8" spans="1:15">
      <c r="C8" s="270" t="s">
        <v>669</v>
      </c>
      <c r="D8" s="272" t="s">
        <v>506</v>
      </c>
      <c r="E8" s="274" t="s">
        <v>500</v>
      </c>
      <c r="F8" s="274" t="s">
        <v>506</v>
      </c>
      <c r="G8" s="274" t="s">
        <v>500</v>
      </c>
      <c r="H8" s="274" t="s">
        <v>506</v>
      </c>
      <c r="I8" s="274" t="s">
        <v>500</v>
      </c>
      <c r="J8" s="274" t="s">
        <v>756</v>
      </c>
      <c r="K8" s="274" t="s">
        <v>756</v>
      </c>
      <c r="L8" s="274" t="s">
        <v>756</v>
      </c>
      <c r="M8" s="274" t="s">
        <v>506</v>
      </c>
      <c r="N8" s="274" t="s">
        <v>500</v>
      </c>
      <c r="O8" s="275" t="s">
        <v>756</v>
      </c>
    </row>
    <row r="9" spans="1:15" ht="15.75" thickBot="1">
      <c r="C9" s="271" t="s">
        <v>670</v>
      </c>
      <c r="D9" s="276" t="s">
        <v>505</v>
      </c>
      <c r="E9" s="277" t="s">
        <v>505</v>
      </c>
      <c r="F9" s="277" t="s">
        <v>504</v>
      </c>
      <c r="G9" s="277" t="s">
        <v>504</v>
      </c>
      <c r="H9" s="277" t="s">
        <v>501</v>
      </c>
      <c r="I9" s="277" t="s">
        <v>501</v>
      </c>
      <c r="J9" s="277" t="s">
        <v>505</v>
      </c>
      <c r="K9" s="277" t="s">
        <v>504</v>
      </c>
      <c r="L9" s="277" t="s">
        <v>501</v>
      </c>
      <c r="M9" s="277" t="s">
        <v>756</v>
      </c>
      <c r="N9" s="277" t="s">
        <v>756</v>
      </c>
      <c r="O9" s="278" t="s">
        <v>756</v>
      </c>
    </row>
    <row r="10" spans="1:15">
      <c r="A10" s="258" t="s">
        <v>602</v>
      </c>
      <c r="B10" s="183" t="s">
        <v>671</v>
      </c>
      <c r="C10" s="259" t="s">
        <v>673</v>
      </c>
      <c r="D10" s="288"/>
      <c r="E10" s="288"/>
      <c r="F10" s="288"/>
      <c r="G10" s="288"/>
      <c r="H10" s="288"/>
      <c r="I10" s="288"/>
      <c r="J10" s="288"/>
      <c r="K10" s="288"/>
      <c r="L10" s="288"/>
      <c r="M10" s="288"/>
      <c r="N10" s="288"/>
      <c r="O10" s="289"/>
    </row>
    <row r="11" spans="1:15">
      <c r="A11" s="263">
        <v>626</v>
      </c>
      <c r="B11" s="294" t="s">
        <v>910</v>
      </c>
      <c r="C11" s="264" t="s">
        <v>674</v>
      </c>
      <c r="D11" s="282">
        <f>AVERAGEIFS('PM Protocol'!$E12:$Z12,'PM Protocol'!$E$9:$Z$9,"="&amp;Composites!D$8,'PM Protocol'!$E$10:$Z$10,"="&amp;Composites!D$9)</f>
        <v>0.44083247518003654</v>
      </c>
      <c r="E11" s="284">
        <f>AVERAGEIFS('PM Protocol'!$E12:$Z12,'PM Protocol'!$E$9:$Z$9,"="&amp;Composites!E$8,'PM Protocol'!$E$10:$Z$10,"="&amp;Composites!E$9)</f>
        <v>0.49910452952131745</v>
      </c>
      <c r="F11" s="284">
        <f>AVERAGEIFS('PM Protocol'!$E12:$Z12,'PM Protocol'!$E$9:$Z$9,"="&amp;Composites!F$8,'PM Protocol'!$E$10:$Z$10,"="&amp;Composites!F$9)</f>
        <v>0.46363463319163378</v>
      </c>
      <c r="G11" s="284">
        <f>AVERAGEIFS('PM Protocol'!$E12:$Z12,'PM Protocol'!$E$9:$Z$9,"="&amp;Composites!G$8,'PM Protocol'!$E$10:$Z$10,"="&amp;Composites!G$9)</f>
        <v>0.49132175479464069</v>
      </c>
      <c r="H11" s="284">
        <f>AVERAGEIFS('PM Protocol'!$E12:$Z12,'PM Protocol'!$E$9:$Z$9,"="&amp;Composites!H$8,'PM Protocol'!$E$10:$Z$10,"="&amp;Composites!H$9)</f>
        <v>0.5311229204797423</v>
      </c>
      <c r="I11" s="284">
        <f>AVERAGEIFS('PM Protocol'!$E12:$Z12,'PM Protocol'!$E$9:$Z$9,"="&amp;Composites!I$8,'PM Protocol'!$E$10:$Z$10,"="&amp;Composites!I$9)</f>
        <v>0.52481284857289012</v>
      </c>
      <c r="J11" s="284">
        <f>0.58*D11+0.42*E11</f>
        <v>0.46530673800337452</v>
      </c>
      <c r="K11" s="284">
        <f>0.58*F11+0.42*G11</f>
        <v>0.47526322426489664</v>
      </c>
      <c r="L11" s="284">
        <f>0.58*H11+0.42*I11</f>
        <v>0.52847269027886434</v>
      </c>
      <c r="M11" s="284">
        <f>0.6*D11+0.35*F11+0.05*H11</f>
        <v>0.45332775274908083</v>
      </c>
      <c r="N11" s="284">
        <f>0.6*E11+0.35*G11+0.05*I11</f>
        <v>0.49766597431955922</v>
      </c>
      <c r="O11" s="286">
        <f>0.58*M11+0.42*N11</f>
        <v>0.47194980580868173</v>
      </c>
    </row>
    <row r="12" spans="1:15">
      <c r="A12" s="263">
        <v>797</v>
      </c>
      <c r="B12" s="294" t="s">
        <v>910</v>
      </c>
      <c r="C12" s="264" t="s">
        <v>675</v>
      </c>
      <c r="D12" s="282">
        <f>AVERAGEIFS('PM Protocol'!$E13:$Z13,'PM Protocol'!$E$9:$Z$9,"="&amp;Composites!D$8,'PM Protocol'!$E$10:$Z$10,"="&amp;Composites!D$9)</f>
        <v>6.987467210475555E-2</v>
      </c>
      <c r="E12" s="284">
        <f>AVERAGEIFS('PM Protocol'!$E13:$Z13,'PM Protocol'!$E$9:$Z$9,"="&amp;Composites!E$8,'PM Protocol'!$E$10:$Z$10,"="&amp;Composites!E$9)</f>
        <v>1.3356247676597847E-2</v>
      </c>
      <c r="F12" s="284">
        <f>AVERAGEIFS('PM Protocol'!$E13:$Z13,'PM Protocol'!$E$9:$Z$9,"="&amp;Composites!F$8,'PM Protocol'!$E$10:$Z$10,"="&amp;Composites!F$9)</f>
        <v>0.11505592787497847</v>
      </c>
      <c r="G12" s="284">
        <f>AVERAGEIFS('PM Protocol'!$E13:$Z13,'PM Protocol'!$E$9:$Z$9,"="&amp;Composites!G$8,'PM Protocol'!$E$10:$Z$10,"="&amp;Composites!G$9)</f>
        <v>1.6618518992489985E-2</v>
      </c>
      <c r="H12" s="284">
        <f>AVERAGEIFS('PM Protocol'!$E13:$Z13,'PM Protocol'!$E$9:$Z$9,"="&amp;Composites!H$8,'PM Protocol'!$E$10:$Z$10,"="&amp;Composites!H$9)</f>
        <v>7.308825188720118E-2</v>
      </c>
      <c r="I12" s="284">
        <f>AVERAGEIFS('PM Protocol'!$E13:$Z13,'PM Protocol'!$E$9:$Z$9,"="&amp;Composites!I$8,'PM Protocol'!$E$10:$Z$10,"="&amp;Composites!I$9)</f>
        <v>3.4783411999597114E-2</v>
      </c>
      <c r="J12" s="284">
        <f t="shared" ref="J12:J75" si="6">0.58*D12+0.42*E12</f>
        <v>4.6136933844929312E-2</v>
      </c>
      <c r="K12" s="284">
        <f t="shared" ref="K12:K75" si="7">0.58*F12+0.42*G12</f>
        <v>7.3712216144333292E-2</v>
      </c>
      <c r="L12" s="284">
        <f t="shared" ref="L12:L75" si="8">0.58*H12+0.42*I12</f>
        <v>5.7000219134407469E-2</v>
      </c>
      <c r="M12" s="284">
        <f t="shared" ref="M12:M75" si="9">0.6*D12+0.35*F12+0.05*H12</f>
        <v>8.584879061345585E-2</v>
      </c>
      <c r="N12" s="284">
        <f t="shared" ref="N12:N75" si="10">0.6*E12+0.35*G12+0.05*I12</f>
        <v>1.5569400853310059E-2</v>
      </c>
      <c r="O12" s="286">
        <f t="shared" ref="O12:O75" si="11">0.58*M12+0.42*N12</f>
        <v>5.6331446914194609E-2</v>
      </c>
    </row>
    <row r="13" spans="1:15">
      <c r="A13" s="263">
        <v>699</v>
      </c>
      <c r="B13" s="294" t="str">
        <f>VLOOKUP(A13,'PM Protocol'!$A$12:$B$104,2,FALSE)</f>
        <v>Inferred</v>
      </c>
      <c r="C13" s="264" t="s">
        <v>677</v>
      </c>
      <c r="D13" s="282">
        <f>AVERAGEIFS('PM Protocol'!$E14:$Z14,'PM Protocol'!$E$9:$Z$9,"="&amp;Composites!D$8,'PM Protocol'!$E$10:$Z$10,"="&amp;Composites!D$9)</f>
        <v>2.0074789755479969E-2</v>
      </c>
      <c r="E13" s="284">
        <f>AVERAGEIFS('PM Protocol'!$E14:$Z14,'PM Protocol'!$E$9:$Z$9,"="&amp;Composites!E$8,'PM Protocol'!$E$10:$Z$10,"="&amp;Composites!E$9)</f>
        <v>3.4596623482262509E-3</v>
      </c>
      <c r="F13" s="284">
        <f>AVERAGEIFS('PM Protocol'!$E14:$Z14,'PM Protocol'!$E$9:$Z$9,"="&amp;Composites!F$8,'PM Protocol'!$E$10:$Z$10,"="&amp;Composites!F$9)</f>
        <v>1.9421743211867126E-2</v>
      </c>
      <c r="G13" s="284">
        <f>AVERAGEIFS('PM Protocol'!$E14:$Z14,'PM Protocol'!$E$9:$Z$9,"="&amp;Composites!G$8,'PM Protocol'!$E$10:$Z$10,"="&amp;Composites!G$9)</f>
        <v>3.7878425408091193E-3</v>
      </c>
      <c r="H13" s="284">
        <f>AVERAGEIFS('PM Protocol'!$E14:$Z14,'PM Protocol'!$E$9:$Z$9,"="&amp;Composites!H$8,'PM Protocol'!$E$10:$Z$10,"="&amp;Composites!H$9)</f>
        <v>4.4358629000990132E-3</v>
      </c>
      <c r="I13" s="284">
        <f>AVERAGEIFS('PM Protocol'!$E14:$Z14,'PM Protocol'!$E$9:$Z$9,"="&amp;Composites!I$8,'PM Protocol'!$E$10:$Z$10,"="&amp;Composites!I$9)</f>
        <v>3.8183682402694098E-3</v>
      </c>
      <c r="J13" s="284">
        <f t="shared" si="6"/>
        <v>1.3096436244433407E-2</v>
      </c>
      <c r="K13" s="284">
        <f t="shared" si="7"/>
        <v>1.2855504930022762E-2</v>
      </c>
      <c r="L13" s="284">
        <f t="shared" si="8"/>
        <v>4.1765151429705794E-3</v>
      </c>
      <c r="M13" s="284">
        <f t="shared" si="9"/>
        <v>1.9064277122446426E-2</v>
      </c>
      <c r="N13" s="284">
        <f t="shared" si="10"/>
        <v>3.5924607102324128E-3</v>
      </c>
      <c r="O13" s="286">
        <f t="shared" si="11"/>
        <v>1.2566114229316539E-2</v>
      </c>
    </row>
    <row r="14" spans="1:15">
      <c r="A14" s="263">
        <v>613</v>
      </c>
      <c r="B14" s="294" t="str">
        <f>VLOOKUP(A14,'PM Protocol'!$A$12:$B$104,2,FALSE)</f>
        <v>n/a</v>
      </c>
      <c r="C14" s="264" t="s">
        <v>678</v>
      </c>
      <c r="D14" s="282">
        <f>AVERAGEIFS('PM Protocol'!$E15:$Z15,'PM Protocol'!$E$9:$Z$9,"="&amp;Composites!D$8,'PM Protocol'!$E$10:$Z$10,"="&amp;Composites!D$9)</f>
        <v>0</v>
      </c>
      <c r="E14" s="284">
        <f>AVERAGEIFS('PM Protocol'!$E15:$Z15,'PM Protocol'!$E$9:$Z$9,"="&amp;Composites!E$8,'PM Protocol'!$E$10:$Z$10,"="&amp;Composites!E$9)</f>
        <v>0</v>
      </c>
      <c r="F14" s="284">
        <f>AVERAGEIFS('PM Protocol'!$E15:$Z15,'PM Protocol'!$E$9:$Z$9,"="&amp;Composites!F$8,'PM Protocol'!$E$10:$Z$10,"="&amp;Composites!F$9)</f>
        <v>0</v>
      </c>
      <c r="G14" s="284">
        <f>AVERAGEIFS('PM Protocol'!$E15:$Z15,'PM Protocol'!$E$9:$Z$9,"="&amp;Composites!G$8,'PM Protocol'!$E$10:$Z$10,"="&amp;Composites!G$9)</f>
        <v>0</v>
      </c>
      <c r="H14" s="284">
        <f>AVERAGEIFS('PM Protocol'!$E15:$Z15,'PM Protocol'!$E$9:$Z$9,"="&amp;Composites!H$8,'PM Protocol'!$E$10:$Z$10,"="&amp;Composites!H$9)</f>
        <v>0</v>
      </c>
      <c r="I14" s="284">
        <f>AVERAGEIFS('PM Protocol'!$E15:$Z15,'PM Protocol'!$E$9:$Z$9,"="&amp;Composites!I$8,'PM Protocol'!$E$10:$Z$10,"="&amp;Composites!I$9)</f>
        <v>0</v>
      </c>
      <c r="J14" s="284">
        <f t="shared" si="6"/>
        <v>0</v>
      </c>
      <c r="K14" s="284">
        <f t="shared" si="7"/>
        <v>0</v>
      </c>
      <c r="L14" s="284">
        <f t="shared" si="8"/>
        <v>0</v>
      </c>
      <c r="M14" s="284">
        <f t="shared" si="9"/>
        <v>0</v>
      </c>
      <c r="N14" s="284">
        <f t="shared" si="10"/>
        <v>0</v>
      </c>
      <c r="O14" s="286">
        <f t="shared" si="11"/>
        <v>0</v>
      </c>
    </row>
    <row r="15" spans="1:15">
      <c r="A15" s="263">
        <v>784</v>
      </c>
      <c r="B15" s="294" t="str">
        <f>VLOOKUP(A15,'PM Protocol'!$A$12:$B$104,2,FALSE)</f>
        <v>Inferred</v>
      </c>
      <c r="C15" s="264" t="s">
        <v>679</v>
      </c>
      <c r="D15" s="282">
        <f>AVERAGEIFS('PM Protocol'!$E16:$Z16,'PM Protocol'!$E$9:$Z$9,"="&amp;Composites!D$8,'PM Protocol'!$E$10:$Z$10,"="&amp;Composites!D$9)</f>
        <v>0</v>
      </c>
      <c r="E15" s="284">
        <f>AVERAGEIFS('PM Protocol'!$E16:$Z16,'PM Protocol'!$E$9:$Z$9,"="&amp;Composites!E$8,'PM Protocol'!$E$10:$Z$10,"="&amp;Composites!E$9)</f>
        <v>0</v>
      </c>
      <c r="F15" s="284">
        <f>AVERAGEIFS('PM Protocol'!$E16:$Z16,'PM Protocol'!$E$9:$Z$9,"="&amp;Composites!F$8,'PM Protocol'!$E$10:$Z$10,"="&amp;Composites!F$9)</f>
        <v>0</v>
      </c>
      <c r="G15" s="284">
        <f>AVERAGEIFS('PM Protocol'!$E16:$Z16,'PM Protocol'!$E$9:$Z$9,"="&amp;Composites!G$8,'PM Protocol'!$E$10:$Z$10,"="&amp;Composites!G$9)</f>
        <v>0</v>
      </c>
      <c r="H15" s="284">
        <f>AVERAGEIFS('PM Protocol'!$E16:$Z16,'PM Protocol'!$E$9:$Z$9,"="&amp;Composites!H$8,'PM Protocol'!$E$10:$Z$10,"="&amp;Composites!H$9)</f>
        <v>0</v>
      </c>
      <c r="I15" s="284">
        <f>AVERAGEIFS('PM Protocol'!$E16:$Z16,'PM Protocol'!$E$9:$Z$9,"="&amp;Composites!I$8,'PM Protocol'!$E$10:$Z$10,"="&amp;Composites!I$9)</f>
        <v>0</v>
      </c>
      <c r="J15" s="284">
        <f t="shared" si="6"/>
        <v>0</v>
      </c>
      <c r="K15" s="284">
        <f t="shared" si="7"/>
        <v>0</v>
      </c>
      <c r="L15" s="284">
        <f t="shared" si="8"/>
        <v>0</v>
      </c>
      <c r="M15" s="284">
        <f t="shared" si="9"/>
        <v>0</v>
      </c>
      <c r="N15" s="284">
        <f t="shared" si="10"/>
        <v>0</v>
      </c>
      <c r="O15" s="286">
        <f t="shared" si="11"/>
        <v>0</v>
      </c>
    </row>
    <row r="16" spans="1:15">
      <c r="A16" s="263">
        <v>2669</v>
      </c>
      <c r="B16" s="294" t="str">
        <f>VLOOKUP(A16,'PM Protocol'!$A$12:$B$104,2,FALSE)</f>
        <v>Inferred</v>
      </c>
      <c r="C16" s="264" t="s">
        <v>680</v>
      </c>
      <c r="D16" s="282">
        <f>AVERAGEIFS('PM Protocol'!$E17:$Z17,'PM Protocol'!$E$9:$Z$9,"="&amp;Composites!D$8,'PM Protocol'!$E$10:$Z$10,"="&amp;Composites!D$9)</f>
        <v>0.43538625164748651</v>
      </c>
      <c r="E16" s="284">
        <f>AVERAGEIFS('PM Protocol'!$E17:$Z17,'PM Protocol'!$E$9:$Z$9,"="&amp;Composites!E$8,'PM Protocol'!$E$10:$Z$10,"="&amp;Composites!E$9)</f>
        <v>0.4776409265617676</v>
      </c>
      <c r="F16" s="284">
        <f>AVERAGEIFS('PM Protocol'!$E17:$Z17,'PM Protocol'!$E$9:$Z$9,"="&amp;Composites!F$8,'PM Protocol'!$E$10:$Z$10,"="&amp;Composites!F$9)</f>
        <v>0.37008894310111379</v>
      </c>
      <c r="G16" s="284">
        <f>AVERAGEIFS('PM Protocol'!$E17:$Z17,'PM Protocol'!$E$9:$Z$9,"="&amp;Composites!G$8,'PM Protocol'!$E$10:$Z$10,"="&amp;Composites!G$9)</f>
        <v>0.48027970496877259</v>
      </c>
      <c r="H16" s="284">
        <f>AVERAGEIFS('PM Protocol'!$E17:$Z17,'PM Protocol'!$E$9:$Z$9,"="&amp;Composites!H$8,'PM Protocol'!$E$10:$Z$10,"="&amp;Composites!H$9)</f>
        <v>0.38097836671395546</v>
      </c>
      <c r="I16" s="284">
        <f>AVERAGEIFS('PM Protocol'!$E17:$Z17,'PM Protocol'!$E$9:$Z$9,"="&amp;Composites!I$8,'PM Protocol'!$E$10:$Z$10,"="&amp;Composites!I$9)</f>
        <v>0.43105535538422446</v>
      </c>
      <c r="J16" s="284">
        <f t="shared" si="6"/>
        <v>0.45313321511148458</v>
      </c>
      <c r="K16" s="284">
        <f t="shared" si="7"/>
        <v>0.41636906308553046</v>
      </c>
      <c r="L16" s="284">
        <f t="shared" si="8"/>
        <v>0.4020107019554684</v>
      </c>
      <c r="M16" s="284">
        <f t="shared" si="9"/>
        <v>0.40981179940957946</v>
      </c>
      <c r="N16" s="284">
        <f t="shared" si="10"/>
        <v>0.47623522044534217</v>
      </c>
      <c r="O16" s="286">
        <f t="shared" si="11"/>
        <v>0.4377096362445998</v>
      </c>
    </row>
    <row r="17" spans="1:15">
      <c r="A17" s="263">
        <v>488</v>
      </c>
      <c r="B17" s="294" t="str">
        <f>VLOOKUP(A17,'PM Protocol'!$A$12:$B$104,2,FALSE)</f>
        <v>XRF</v>
      </c>
      <c r="C17" s="264" t="s">
        <v>681</v>
      </c>
      <c r="D17" s="282">
        <f>AVERAGEIFS('PM Protocol'!$E18:$Z18,'PM Protocol'!$E$9:$Z$9,"="&amp;Composites!D$8,'PM Protocol'!$E$10:$Z$10,"="&amp;Composites!D$9)</f>
        <v>0</v>
      </c>
      <c r="E17" s="284">
        <f>AVERAGEIFS('PM Protocol'!$E18:$Z18,'PM Protocol'!$E$9:$Z$9,"="&amp;Composites!E$8,'PM Protocol'!$E$10:$Z$10,"="&amp;Composites!E$9)</f>
        <v>5.8978453614957212E-6</v>
      </c>
      <c r="F17" s="284">
        <f>AVERAGEIFS('PM Protocol'!$E18:$Z18,'PM Protocol'!$E$9:$Z$9,"="&amp;Composites!F$8,'PM Protocol'!$E$10:$Z$10,"="&amp;Composites!F$9)</f>
        <v>2.2891132562139106E-4</v>
      </c>
      <c r="G17" s="284">
        <f>AVERAGEIFS('PM Protocol'!$E18:$Z18,'PM Protocol'!$E$9:$Z$9,"="&amp;Composites!G$8,'PM Protocol'!$E$10:$Z$10,"="&amp;Composites!G$9)</f>
        <v>4.6493116052765155E-7</v>
      </c>
      <c r="H17" s="284">
        <f>AVERAGEIFS('PM Protocol'!$E18:$Z18,'PM Protocol'!$E$9:$Z$9,"="&amp;Composites!H$8,'PM Protocol'!$E$10:$Z$10,"="&amp;Composites!H$9)</f>
        <v>3.7470472591657436E-4</v>
      </c>
      <c r="I17" s="284">
        <f>AVERAGEIFS('PM Protocol'!$E18:$Z18,'PM Protocol'!$E$9:$Z$9,"="&amp;Composites!I$8,'PM Protocol'!$E$10:$Z$10,"="&amp;Composites!I$9)</f>
        <v>2.7386373802635748E-5</v>
      </c>
      <c r="J17" s="284">
        <f t="shared" si="6"/>
        <v>2.4770950518282029E-6</v>
      </c>
      <c r="K17" s="284">
        <f t="shared" si="7"/>
        <v>1.3296383994782843E-4</v>
      </c>
      <c r="L17" s="284">
        <f t="shared" si="8"/>
        <v>2.2883101802872012E-4</v>
      </c>
      <c r="M17" s="284">
        <f t="shared" si="9"/>
        <v>9.8854200263315587E-5</v>
      </c>
      <c r="N17" s="284">
        <f t="shared" si="10"/>
        <v>5.0707518132138981E-6</v>
      </c>
      <c r="O17" s="286">
        <f t="shared" si="11"/>
        <v>5.9465151914272869E-5</v>
      </c>
    </row>
    <row r="18" spans="1:15">
      <c r="A18" s="263">
        <v>292</v>
      </c>
      <c r="B18" s="294" t="str">
        <f>VLOOKUP(A18,'PM Protocol'!$A$12:$B$104,2,FALSE)</f>
        <v>XRF</v>
      </c>
      <c r="C18" s="264" t="s">
        <v>682</v>
      </c>
      <c r="D18" s="282">
        <f>AVERAGEIFS('PM Protocol'!$E19:$Z19,'PM Protocol'!$E$9:$Z$9,"="&amp;Composites!D$8,'PM Protocol'!$E$10:$Z$10,"="&amp;Composites!D$9)</f>
        <v>0</v>
      </c>
      <c r="E18" s="284">
        <f>AVERAGEIFS('PM Protocol'!$E19:$Z19,'PM Protocol'!$E$9:$Z$9,"="&amp;Composites!E$8,'PM Protocol'!$E$10:$Z$10,"="&amp;Composites!E$9)</f>
        <v>5.9206461448159157E-6</v>
      </c>
      <c r="F18" s="284">
        <f>AVERAGEIFS('PM Protocol'!$E19:$Z19,'PM Protocol'!$E$9:$Z$9,"="&amp;Composites!F$8,'PM Protocol'!$E$10:$Z$10,"="&amp;Composites!F$9)</f>
        <v>0</v>
      </c>
      <c r="G18" s="284">
        <f>AVERAGEIFS('PM Protocol'!$E19:$Z19,'PM Protocol'!$E$9:$Z$9,"="&amp;Composites!G$8,'PM Protocol'!$E$10:$Z$10,"="&amp;Composites!G$9)</f>
        <v>0</v>
      </c>
      <c r="H18" s="284">
        <f>AVERAGEIFS('PM Protocol'!$E19:$Z19,'PM Protocol'!$E$9:$Z$9,"="&amp;Composites!H$8,'PM Protocol'!$E$10:$Z$10,"="&amp;Composites!H$9)</f>
        <v>0</v>
      </c>
      <c r="I18" s="284">
        <f>AVERAGEIFS('PM Protocol'!$E19:$Z19,'PM Protocol'!$E$9:$Z$9,"="&amp;Composites!I$8,'PM Protocol'!$E$10:$Z$10,"="&amp;Composites!I$9)</f>
        <v>0</v>
      </c>
      <c r="J18" s="284">
        <f t="shared" si="6"/>
        <v>2.4866713808226843E-6</v>
      </c>
      <c r="K18" s="284">
        <f t="shared" si="7"/>
        <v>0</v>
      </c>
      <c r="L18" s="284">
        <f t="shared" si="8"/>
        <v>0</v>
      </c>
      <c r="M18" s="284">
        <f t="shared" si="9"/>
        <v>0</v>
      </c>
      <c r="N18" s="284">
        <f t="shared" si="10"/>
        <v>3.5523876868895494E-6</v>
      </c>
      <c r="O18" s="286">
        <f t="shared" si="11"/>
        <v>1.4920028284936107E-6</v>
      </c>
    </row>
    <row r="19" spans="1:15">
      <c r="A19" s="263">
        <v>694</v>
      </c>
      <c r="B19" s="294" t="str">
        <f>VLOOKUP(A19,'PM Protocol'!$A$12:$B$104,2,FALSE)</f>
        <v>XRF</v>
      </c>
      <c r="C19" s="264" t="s">
        <v>683</v>
      </c>
      <c r="D19" s="282">
        <f>AVERAGEIFS('PM Protocol'!$E20:$Z20,'PM Protocol'!$E$9:$Z$9,"="&amp;Composites!D$8,'PM Protocol'!$E$10:$Z$10,"="&amp;Composites!D$9)</f>
        <v>1.5799599489708736E-3</v>
      </c>
      <c r="E19" s="284">
        <f>AVERAGEIFS('PM Protocol'!$E20:$Z20,'PM Protocol'!$E$9:$Z$9,"="&amp;Composites!E$8,'PM Protocol'!$E$10:$Z$10,"="&amp;Composites!E$9)</f>
        <v>3.1521993611833701E-6</v>
      </c>
      <c r="F19" s="284">
        <f>AVERAGEIFS('PM Protocol'!$E20:$Z20,'PM Protocol'!$E$9:$Z$9,"="&amp;Composites!F$8,'PM Protocol'!$E$10:$Z$10,"="&amp;Composites!F$9)</f>
        <v>1.425405305462391E-4</v>
      </c>
      <c r="G19" s="284">
        <f>AVERAGEIFS('PM Protocol'!$E20:$Z20,'PM Protocol'!$E$9:$Z$9,"="&amp;Composites!G$8,'PM Protocol'!$E$10:$Z$10,"="&amp;Composites!G$9)</f>
        <v>1.7854590542600645E-5</v>
      </c>
      <c r="H19" s="284">
        <f>AVERAGEIFS('PM Protocol'!$E20:$Z20,'PM Protocol'!$E$9:$Z$9,"="&amp;Composites!H$8,'PM Protocol'!$E$10:$Z$10,"="&amp;Composites!H$9)</f>
        <v>3.8067368595417545E-4</v>
      </c>
      <c r="I19" s="284">
        <f>AVERAGEIFS('PM Protocol'!$E20:$Z20,'PM Protocol'!$E$9:$Z$9,"="&amp;Composites!I$8,'PM Protocol'!$E$10:$Z$10,"="&amp;Composites!I$9)</f>
        <v>1.0371337720848106E-4</v>
      </c>
      <c r="J19" s="284">
        <f t="shared" si="6"/>
        <v>9.177006941348037E-4</v>
      </c>
      <c r="K19" s="284">
        <f t="shared" si="7"/>
        <v>9.0172435744710947E-5</v>
      </c>
      <c r="L19" s="284">
        <f t="shared" si="8"/>
        <v>2.6435035628098378E-4</v>
      </c>
      <c r="M19" s="284">
        <f t="shared" si="9"/>
        <v>1.0168988393714166E-3</v>
      </c>
      <c r="N19" s="284">
        <f t="shared" si="10"/>
        <v>1.33260951670443E-5</v>
      </c>
      <c r="O19" s="286">
        <f t="shared" si="11"/>
        <v>5.9539828680558017E-4</v>
      </c>
    </row>
    <row r="20" spans="1:15">
      <c r="A20" s="263">
        <v>715</v>
      </c>
      <c r="B20" s="294" t="str">
        <f>VLOOKUP(A20,'PM Protocol'!$A$12:$B$104,2,FALSE)</f>
        <v>XRF</v>
      </c>
      <c r="C20" s="264" t="s">
        <v>684</v>
      </c>
      <c r="D20" s="282">
        <f>AVERAGEIFS('PM Protocol'!$E21:$Z21,'PM Protocol'!$E$9:$Z$9,"="&amp;Composites!D$8,'PM Protocol'!$E$10:$Z$10,"="&amp;Composites!D$9)</f>
        <v>0</v>
      </c>
      <c r="E20" s="284">
        <f>AVERAGEIFS('PM Protocol'!$E21:$Z21,'PM Protocol'!$E$9:$Z$9,"="&amp;Composites!E$8,'PM Protocol'!$E$10:$Z$10,"="&amp;Composites!E$9)</f>
        <v>4.2721135739849775E-6</v>
      </c>
      <c r="F20" s="284">
        <f>AVERAGEIFS('PM Protocol'!$E21:$Z21,'PM Protocol'!$E$9:$Z$9,"="&amp;Composites!F$8,'PM Protocol'!$E$10:$Z$10,"="&amp;Composites!F$9)</f>
        <v>0</v>
      </c>
      <c r="G20" s="284">
        <f>AVERAGEIFS('PM Protocol'!$E21:$Z21,'PM Protocol'!$E$9:$Z$9,"="&amp;Composites!G$8,'PM Protocol'!$E$10:$Z$10,"="&amp;Composites!G$9)</f>
        <v>1.238687356739447E-6</v>
      </c>
      <c r="H20" s="284">
        <f>AVERAGEIFS('PM Protocol'!$E21:$Z21,'PM Protocol'!$E$9:$Z$9,"="&amp;Composites!H$8,'PM Protocol'!$E$10:$Z$10,"="&amp;Composites!H$9)</f>
        <v>1.2168682596171363E-5</v>
      </c>
      <c r="I20" s="284">
        <f>AVERAGEIFS('PM Protocol'!$E21:$Z21,'PM Protocol'!$E$9:$Z$9,"="&amp;Composites!I$8,'PM Protocol'!$E$10:$Z$10,"="&amp;Composites!I$9)</f>
        <v>1.8609610591300591E-5</v>
      </c>
      <c r="J20" s="284">
        <f t="shared" si="6"/>
        <v>1.7942877010736905E-6</v>
      </c>
      <c r="K20" s="284">
        <f t="shared" si="7"/>
        <v>5.2024868983056771E-7</v>
      </c>
      <c r="L20" s="284">
        <f t="shared" si="8"/>
        <v>1.4873872354125637E-5</v>
      </c>
      <c r="M20" s="284">
        <f t="shared" si="9"/>
        <v>6.0843412980856823E-7</v>
      </c>
      <c r="N20" s="284">
        <f t="shared" si="10"/>
        <v>3.9272892488148224E-6</v>
      </c>
      <c r="O20" s="286">
        <f t="shared" si="11"/>
        <v>2.002353279791195E-6</v>
      </c>
    </row>
    <row r="21" spans="1:15">
      <c r="A21" s="263">
        <v>2303</v>
      </c>
      <c r="B21" s="294" t="str">
        <f>VLOOKUP(A21,'PM Protocol'!$A$12:$B$104,2,FALSE)</f>
        <v>n/a</v>
      </c>
      <c r="C21" s="264" t="s">
        <v>685</v>
      </c>
      <c r="D21" s="282">
        <f>AVERAGEIFS('PM Protocol'!$E22:$Z22,'PM Protocol'!$E$9:$Z$9,"="&amp;Composites!D$8,'PM Protocol'!$E$10:$Z$10,"="&amp;Composites!D$9)</f>
        <v>0</v>
      </c>
      <c r="E21" s="284">
        <f>AVERAGEIFS('PM Protocol'!$E22:$Z22,'PM Protocol'!$E$9:$Z$9,"="&amp;Composites!E$8,'PM Protocol'!$E$10:$Z$10,"="&amp;Composites!E$9)</f>
        <v>0</v>
      </c>
      <c r="F21" s="284">
        <f>AVERAGEIFS('PM Protocol'!$E22:$Z22,'PM Protocol'!$E$9:$Z$9,"="&amp;Composites!F$8,'PM Protocol'!$E$10:$Z$10,"="&amp;Composites!F$9)</f>
        <v>0</v>
      </c>
      <c r="G21" s="284">
        <f>AVERAGEIFS('PM Protocol'!$E22:$Z22,'PM Protocol'!$E$9:$Z$9,"="&amp;Composites!G$8,'PM Protocol'!$E$10:$Z$10,"="&amp;Composites!G$9)</f>
        <v>0</v>
      </c>
      <c r="H21" s="284">
        <f>AVERAGEIFS('PM Protocol'!$E22:$Z22,'PM Protocol'!$E$9:$Z$9,"="&amp;Composites!H$8,'PM Protocol'!$E$10:$Z$10,"="&amp;Composites!H$9)</f>
        <v>0</v>
      </c>
      <c r="I21" s="284">
        <f>AVERAGEIFS('PM Protocol'!$E22:$Z22,'PM Protocol'!$E$9:$Z$9,"="&amp;Composites!I$8,'PM Protocol'!$E$10:$Z$10,"="&amp;Composites!I$9)</f>
        <v>0</v>
      </c>
      <c r="J21" s="284">
        <f t="shared" si="6"/>
        <v>0</v>
      </c>
      <c r="K21" s="284">
        <f t="shared" si="7"/>
        <v>0</v>
      </c>
      <c r="L21" s="284">
        <f t="shared" si="8"/>
        <v>0</v>
      </c>
      <c r="M21" s="284">
        <f t="shared" si="9"/>
        <v>0</v>
      </c>
      <c r="N21" s="284">
        <f t="shared" si="10"/>
        <v>0</v>
      </c>
      <c r="O21" s="286">
        <f t="shared" si="11"/>
        <v>0</v>
      </c>
    </row>
    <row r="22" spans="1:15">
      <c r="A22" s="263">
        <v>329</v>
      </c>
      <c r="B22" s="294" t="str">
        <f>VLOOKUP(A22,'PM Protocol'!$A$12:$B$104,2,FALSE)</f>
        <v>XRF</v>
      </c>
      <c r="C22" s="264" t="s">
        <v>685</v>
      </c>
      <c r="D22" s="282">
        <f>AVERAGEIFS('PM Protocol'!$E23:$Z23,'PM Protocol'!$E$9:$Z$9,"="&amp;Composites!D$8,'PM Protocol'!$E$10:$Z$10,"="&amp;Composites!D$9)</f>
        <v>0</v>
      </c>
      <c r="E22" s="284">
        <f>AVERAGEIFS('PM Protocol'!$E23:$Z23,'PM Protocol'!$E$9:$Z$9,"="&amp;Composites!E$8,'PM Protocol'!$E$10:$Z$10,"="&amp;Composites!E$9)</f>
        <v>3.7404075881193686E-4</v>
      </c>
      <c r="F22" s="284">
        <f>AVERAGEIFS('PM Protocol'!$E23:$Z23,'PM Protocol'!$E$9:$Z$9,"="&amp;Composites!F$8,'PM Protocol'!$E$10:$Z$10,"="&amp;Composites!F$9)</f>
        <v>5.8262979031319616E-4</v>
      </c>
      <c r="G22" s="284">
        <f>AVERAGEIFS('PM Protocol'!$E23:$Z23,'PM Protocol'!$E$9:$Z$9,"="&amp;Composites!G$8,'PM Protocol'!$E$10:$Z$10,"="&amp;Composites!G$9)</f>
        <v>5.4535734709044753E-4</v>
      </c>
      <c r="H22" s="284">
        <f>AVERAGEIFS('PM Protocol'!$E23:$Z23,'PM Protocol'!$E$9:$Z$9,"="&amp;Composites!H$8,'PM Protocol'!$E$10:$Z$10,"="&amp;Composites!H$9)</f>
        <v>7.2643112897947568E-4</v>
      </c>
      <c r="I22" s="284">
        <f>AVERAGEIFS('PM Protocol'!$E23:$Z23,'PM Protocol'!$E$9:$Z$9,"="&amp;Composites!I$8,'PM Protocol'!$E$10:$Z$10,"="&amp;Composites!I$9)</f>
        <v>3.3583488564332818E-4</v>
      </c>
      <c r="J22" s="284">
        <f t="shared" si="6"/>
        <v>1.5709711870101349E-4</v>
      </c>
      <c r="K22" s="284">
        <f t="shared" si="7"/>
        <v>5.6697536415964173E-4</v>
      </c>
      <c r="L22" s="284">
        <f t="shared" si="8"/>
        <v>5.6238070677829368E-4</v>
      </c>
      <c r="M22" s="284">
        <f t="shared" si="9"/>
        <v>2.4024198305859244E-4</v>
      </c>
      <c r="N22" s="284">
        <f t="shared" si="10"/>
        <v>4.320912710509851E-4</v>
      </c>
      <c r="O22" s="286">
        <f t="shared" si="11"/>
        <v>3.2081868401539733E-4</v>
      </c>
    </row>
    <row r="23" spans="1:15">
      <c r="A23" s="263">
        <v>2772</v>
      </c>
      <c r="B23" s="294" t="str">
        <f>VLOOKUP(A23,'PM Protocol'!$A$12:$B$104,2,FALSE)</f>
        <v>n/a</v>
      </c>
      <c r="C23" s="264" t="s">
        <v>686</v>
      </c>
      <c r="D23" s="282">
        <f>AVERAGEIFS('PM Protocol'!$E24:$Z24,'PM Protocol'!$E$9:$Z$9,"="&amp;Composites!D$8,'PM Protocol'!$E$10:$Z$10,"="&amp;Composites!D$9)</f>
        <v>0</v>
      </c>
      <c r="E23" s="284">
        <f>AVERAGEIFS('PM Protocol'!$E24:$Z24,'PM Protocol'!$E$9:$Z$9,"="&amp;Composites!E$8,'PM Protocol'!$E$10:$Z$10,"="&amp;Composites!E$9)</f>
        <v>0</v>
      </c>
      <c r="F23" s="284">
        <f>AVERAGEIFS('PM Protocol'!$E24:$Z24,'PM Protocol'!$E$9:$Z$9,"="&amp;Composites!F$8,'PM Protocol'!$E$10:$Z$10,"="&amp;Composites!F$9)</f>
        <v>0</v>
      </c>
      <c r="G23" s="284">
        <f>AVERAGEIFS('PM Protocol'!$E24:$Z24,'PM Protocol'!$E$9:$Z$9,"="&amp;Composites!G$8,'PM Protocol'!$E$10:$Z$10,"="&amp;Composites!G$9)</f>
        <v>0</v>
      </c>
      <c r="H23" s="284">
        <f>AVERAGEIFS('PM Protocol'!$E24:$Z24,'PM Protocol'!$E$9:$Z$9,"="&amp;Composites!H$8,'PM Protocol'!$E$10:$Z$10,"="&amp;Composites!H$9)</f>
        <v>0</v>
      </c>
      <c r="I23" s="284">
        <f>AVERAGEIFS('PM Protocol'!$E24:$Z24,'PM Protocol'!$E$9:$Z$9,"="&amp;Composites!I$8,'PM Protocol'!$E$10:$Z$10,"="&amp;Composites!I$9)</f>
        <v>0</v>
      </c>
      <c r="J23" s="284">
        <f t="shared" si="6"/>
        <v>0</v>
      </c>
      <c r="K23" s="284">
        <f t="shared" si="7"/>
        <v>0</v>
      </c>
      <c r="L23" s="284">
        <f t="shared" si="8"/>
        <v>0</v>
      </c>
      <c r="M23" s="284">
        <f t="shared" si="9"/>
        <v>0</v>
      </c>
      <c r="N23" s="284">
        <f t="shared" si="10"/>
        <v>0</v>
      </c>
      <c r="O23" s="286">
        <f t="shared" si="11"/>
        <v>0</v>
      </c>
    </row>
    <row r="24" spans="1:15">
      <c r="A24" s="263">
        <v>525</v>
      </c>
      <c r="B24" s="294" t="str">
        <f>VLOOKUP(A24,'PM Protocol'!$A$12:$B$104,2,FALSE)</f>
        <v>XRF</v>
      </c>
      <c r="C24" s="264" t="s">
        <v>686</v>
      </c>
      <c r="D24" s="282">
        <f>AVERAGEIFS('PM Protocol'!$E25:$Z25,'PM Protocol'!$E$9:$Z$9,"="&amp;Composites!D$8,'PM Protocol'!$E$10:$Z$10,"="&amp;Composites!D$9)</f>
        <v>2.3097162262969409E-4</v>
      </c>
      <c r="E24" s="284">
        <f>AVERAGEIFS('PM Protocol'!$E25:$Z25,'PM Protocol'!$E$9:$Z$9,"="&amp;Composites!E$8,'PM Protocol'!$E$10:$Z$10,"="&amp;Composites!E$9)</f>
        <v>1.8876578494792461E-5</v>
      </c>
      <c r="F24" s="284">
        <f>AVERAGEIFS('PM Protocol'!$E25:$Z25,'PM Protocol'!$E$9:$Z$9,"="&amp;Composites!F$8,'PM Protocol'!$E$10:$Z$10,"="&amp;Composites!F$9)</f>
        <v>0</v>
      </c>
      <c r="G24" s="284">
        <f>AVERAGEIFS('PM Protocol'!$E25:$Z25,'PM Protocol'!$E$9:$Z$9,"="&amp;Composites!G$8,'PM Protocol'!$E$10:$Z$10,"="&amp;Composites!G$9)</f>
        <v>0</v>
      </c>
      <c r="H24" s="284">
        <f>AVERAGEIFS('PM Protocol'!$E25:$Z25,'PM Protocol'!$E$9:$Z$9,"="&amp;Composites!H$8,'PM Protocol'!$E$10:$Z$10,"="&amp;Composites!H$9)</f>
        <v>3.1286783636461573E-5</v>
      </c>
      <c r="I24" s="284">
        <f>AVERAGEIFS('PM Protocol'!$E25:$Z25,'PM Protocol'!$E$9:$Z$9,"="&amp;Composites!I$8,'PM Protocol'!$E$10:$Z$10,"="&amp;Composites!I$9)</f>
        <v>7.8176212103960621E-5</v>
      </c>
      <c r="J24" s="284">
        <f t="shared" si="6"/>
        <v>1.4189170409303539E-4</v>
      </c>
      <c r="K24" s="284">
        <f t="shared" si="7"/>
        <v>0</v>
      </c>
      <c r="L24" s="284">
        <f t="shared" si="8"/>
        <v>5.0980343592811175E-5</v>
      </c>
      <c r="M24" s="284">
        <f t="shared" si="9"/>
        <v>1.4014731275963953E-4</v>
      </c>
      <c r="N24" s="284">
        <f t="shared" si="10"/>
        <v>1.5234757702073508E-5</v>
      </c>
      <c r="O24" s="286">
        <f t="shared" si="11"/>
        <v>8.7684039635461792E-5</v>
      </c>
    </row>
    <row r="25" spans="1:15">
      <c r="A25" s="263">
        <v>2302</v>
      </c>
      <c r="B25" s="294" t="str">
        <f>VLOOKUP(A25,'PM Protocol'!$A$12:$B$104,2,FALSE)</f>
        <v>n/a</v>
      </c>
      <c r="C25" s="264" t="s">
        <v>687</v>
      </c>
      <c r="D25" s="282">
        <f>AVERAGEIFS('PM Protocol'!$E26:$Z26,'PM Protocol'!$E$9:$Z$9,"="&amp;Composites!D$8,'PM Protocol'!$E$10:$Z$10,"="&amp;Composites!D$9)</f>
        <v>0</v>
      </c>
      <c r="E25" s="284">
        <f>AVERAGEIFS('PM Protocol'!$E26:$Z26,'PM Protocol'!$E$9:$Z$9,"="&amp;Composites!E$8,'PM Protocol'!$E$10:$Z$10,"="&amp;Composites!E$9)</f>
        <v>0</v>
      </c>
      <c r="F25" s="284">
        <f>AVERAGEIFS('PM Protocol'!$E26:$Z26,'PM Protocol'!$E$9:$Z$9,"="&amp;Composites!F$8,'PM Protocol'!$E$10:$Z$10,"="&amp;Composites!F$9)</f>
        <v>0</v>
      </c>
      <c r="G25" s="284">
        <f>AVERAGEIFS('PM Protocol'!$E26:$Z26,'PM Protocol'!$E$9:$Z$9,"="&amp;Composites!G$8,'PM Protocol'!$E$10:$Z$10,"="&amp;Composites!G$9)</f>
        <v>0</v>
      </c>
      <c r="H25" s="284">
        <f>AVERAGEIFS('PM Protocol'!$E26:$Z26,'PM Protocol'!$E$9:$Z$9,"="&amp;Composites!H$8,'PM Protocol'!$E$10:$Z$10,"="&amp;Composites!H$9)</f>
        <v>0</v>
      </c>
      <c r="I25" s="284">
        <f>AVERAGEIFS('PM Protocol'!$E26:$Z26,'PM Protocol'!$E$9:$Z$9,"="&amp;Composites!I$8,'PM Protocol'!$E$10:$Z$10,"="&amp;Composites!I$9)</f>
        <v>0</v>
      </c>
      <c r="J25" s="284">
        <f t="shared" si="6"/>
        <v>0</v>
      </c>
      <c r="K25" s="284">
        <f t="shared" si="7"/>
        <v>0</v>
      </c>
      <c r="L25" s="284">
        <f t="shared" si="8"/>
        <v>0</v>
      </c>
      <c r="M25" s="284">
        <f t="shared" si="9"/>
        <v>0</v>
      </c>
      <c r="N25" s="284">
        <f t="shared" si="10"/>
        <v>0</v>
      </c>
      <c r="O25" s="286">
        <f t="shared" si="11"/>
        <v>0</v>
      </c>
    </row>
    <row r="26" spans="1:15">
      <c r="A26" s="263">
        <v>669</v>
      </c>
      <c r="B26" s="294" t="str">
        <f>VLOOKUP(A26,'PM Protocol'!$A$12:$B$104,2,FALSE)</f>
        <v>XRF</v>
      </c>
      <c r="C26" s="264" t="s">
        <v>687</v>
      </c>
      <c r="D26" s="282">
        <f>AVERAGEIFS('PM Protocol'!$E27:$Z27,'PM Protocol'!$E$9:$Z$9,"="&amp;Composites!D$8,'PM Protocol'!$E$10:$Z$10,"="&amp;Composites!D$9)</f>
        <v>1.6261461354964733E-2</v>
      </c>
      <c r="E26" s="284">
        <f>AVERAGEIFS('PM Protocol'!$E27:$Z27,'PM Protocol'!$E$9:$Z$9,"="&amp;Composites!E$8,'PM Protocol'!$E$10:$Z$10,"="&amp;Composites!E$9)</f>
        <v>2.8797925978964584E-3</v>
      </c>
      <c r="F26" s="284">
        <f>AVERAGEIFS('PM Protocol'!$E27:$Z27,'PM Protocol'!$E$9:$Z$9,"="&amp;Composites!F$8,'PM Protocol'!$E$10:$Z$10,"="&amp;Composites!F$9)</f>
        <v>1.3580062455344256E-2</v>
      </c>
      <c r="G26" s="284">
        <f>AVERAGEIFS('PM Protocol'!$E27:$Z27,'PM Protocol'!$E$9:$Z$9,"="&amp;Composites!G$8,'PM Protocol'!$E$10:$Z$10,"="&amp;Composites!G$9)</f>
        <v>4.1487122904165369E-3</v>
      </c>
      <c r="H26" s="284">
        <f>AVERAGEIFS('PM Protocol'!$E27:$Z27,'PM Protocol'!$E$9:$Z$9,"="&amp;Composites!H$8,'PM Protocol'!$E$10:$Z$10,"="&amp;Composites!H$9)</f>
        <v>3.2675720178717733E-3</v>
      </c>
      <c r="I26" s="284">
        <f>AVERAGEIFS('PM Protocol'!$E27:$Z27,'PM Protocol'!$E$9:$Z$9,"="&amp;Composites!I$8,'PM Protocol'!$E$10:$Z$10,"="&amp;Composites!I$9)</f>
        <v>1.524364256891692E-3</v>
      </c>
      <c r="J26" s="284">
        <f t="shared" si="6"/>
        <v>1.0641160476996057E-2</v>
      </c>
      <c r="K26" s="284">
        <f t="shared" si="7"/>
        <v>9.6188953860746138E-3</v>
      </c>
      <c r="L26" s="284">
        <f t="shared" si="8"/>
        <v>2.5354247582601388E-3</v>
      </c>
      <c r="M26" s="284">
        <f t="shared" si="9"/>
        <v>1.4673277273242918E-2</v>
      </c>
      <c r="N26" s="284">
        <f t="shared" si="10"/>
        <v>3.2561430732282472E-3</v>
      </c>
      <c r="O26" s="286">
        <f t="shared" si="11"/>
        <v>9.8780809092367545E-3</v>
      </c>
    </row>
    <row r="27" spans="1:15">
      <c r="A27" s="263">
        <v>526</v>
      </c>
      <c r="B27" s="294" t="str">
        <f>VLOOKUP(A27,'PM Protocol'!$A$12:$B$104,2,FALSE)</f>
        <v>XRF</v>
      </c>
      <c r="C27" s="264" t="s">
        <v>688</v>
      </c>
      <c r="D27" s="282">
        <f>AVERAGEIFS('PM Protocol'!$E28:$Z28,'PM Protocol'!$E$9:$Z$9,"="&amp;Composites!D$8,'PM Protocol'!$E$10:$Z$10,"="&amp;Composites!D$9)</f>
        <v>0</v>
      </c>
      <c r="E27" s="284">
        <f>AVERAGEIFS('PM Protocol'!$E28:$Z28,'PM Protocol'!$E$9:$Z$9,"="&amp;Composites!E$8,'PM Protocol'!$E$10:$Z$10,"="&amp;Composites!E$9)</f>
        <v>3.1759004708383002E-6</v>
      </c>
      <c r="F27" s="284">
        <f>AVERAGEIFS('PM Protocol'!$E28:$Z28,'PM Protocol'!$E$9:$Z$9,"="&amp;Composites!F$8,'PM Protocol'!$E$10:$Z$10,"="&amp;Composites!F$9)</f>
        <v>1.0636993151920832E-5</v>
      </c>
      <c r="G27" s="284">
        <f>AVERAGEIFS('PM Protocol'!$E28:$Z28,'PM Protocol'!$E$9:$Z$9,"="&amp;Composites!G$8,'PM Protocol'!$E$10:$Z$10,"="&amp;Composites!G$9)</f>
        <v>1.6675154646956728E-5</v>
      </c>
      <c r="H27" s="284">
        <f>AVERAGEIFS('PM Protocol'!$E28:$Z28,'PM Protocol'!$E$9:$Z$9,"="&amp;Composites!H$8,'PM Protocol'!$E$10:$Z$10,"="&amp;Composites!H$9)</f>
        <v>1.8797698399150872E-5</v>
      </c>
      <c r="I27" s="284">
        <f>AVERAGEIFS('PM Protocol'!$E28:$Z28,'PM Protocol'!$E$9:$Z$9,"="&amp;Composites!I$8,'PM Protocol'!$E$10:$Z$10,"="&amp;Composites!I$9)</f>
        <v>9.2890734455830711E-6</v>
      </c>
      <c r="J27" s="284">
        <f t="shared" si="6"/>
        <v>1.3338781977520861E-6</v>
      </c>
      <c r="K27" s="284">
        <f t="shared" si="7"/>
        <v>1.3173020979835908E-5</v>
      </c>
      <c r="L27" s="284">
        <f t="shared" si="8"/>
        <v>1.4804075918652394E-5</v>
      </c>
      <c r="M27" s="284">
        <f t="shared" si="9"/>
        <v>4.662832523129834E-6</v>
      </c>
      <c r="N27" s="284">
        <f t="shared" si="10"/>
        <v>8.2062980812169893E-6</v>
      </c>
      <c r="O27" s="286">
        <f t="shared" si="11"/>
        <v>6.1510880575264391E-6</v>
      </c>
    </row>
    <row r="28" spans="1:15">
      <c r="A28" s="263">
        <v>696</v>
      </c>
      <c r="B28" s="294" t="str">
        <f>VLOOKUP(A28,'PM Protocol'!$A$12:$B$104,2,FALSE)</f>
        <v>XRF</v>
      </c>
      <c r="C28" s="264" t="s">
        <v>689</v>
      </c>
      <c r="D28" s="282">
        <f>AVERAGEIFS('PM Protocol'!$E29:$Z29,'PM Protocol'!$E$9:$Z$9,"="&amp;Composites!D$8,'PM Protocol'!$E$10:$Z$10,"="&amp;Composites!D$9)</f>
        <v>0</v>
      </c>
      <c r="E28" s="284">
        <f>AVERAGEIFS('PM Protocol'!$E29:$Z29,'PM Protocol'!$E$9:$Z$9,"="&amp;Composites!E$8,'PM Protocol'!$E$10:$Z$10,"="&amp;Composites!E$9)</f>
        <v>1.5820796403556276E-5</v>
      </c>
      <c r="F28" s="284">
        <f>AVERAGEIFS('PM Protocol'!$E29:$Z29,'PM Protocol'!$E$9:$Z$9,"="&amp;Composites!F$8,'PM Protocol'!$E$10:$Z$10,"="&amp;Composites!F$9)</f>
        <v>5.5332316841586165E-4</v>
      </c>
      <c r="G28" s="284">
        <f>AVERAGEIFS('PM Protocol'!$E29:$Z29,'PM Protocol'!$E$9:$Z$9,"="&amp;Composites!G$8,'PM Protocol'!$E$10:$Z$10,"="&amp;Composites!G$9)</f>
        <v>0</v>
      </c>
      <c r="H28" s="284">
        <f>AVERAGEIFS('PM Protocol'!$E29:$Z29,'PM Protocol'!$E$9:$Z$9,"="&amp;Composites!H$8,'PM Protocol'!$E$10:$Z$10,"="&amp;Composites!H$9)</f>
        <v>4.6499562749524549E-4</v>
      </c>
      <c r="I28" s="284">
        <f>AVERAGEIFS('PM Protocol'!$E29:$Z29,'PM Protocol'!$E$9:$Z$9,"="&amp;Composites!I$8,'PM Protocol'!$E$10:$Z$10,"="&amp;Composites!I$9)</f>
        <v>4.4523351439565949E-4</v>
      </c>
      <c r="J28" s="284">
        <f t="shared" si="6"/>
        <v>6.6447344894936357E-6</v>
      </c>
      <c r="K28" s="284">
        <f t="shared" si="7"/>
        <v>3.2092743768119975E-4</v>
      </c>
      <c r="L28" s="284">
        <f t="shared" si="8"/>
        <v>4.5669553999341935E-4</v>
      </c>
      <c r="M28" s="284">
        <f t="shared" si="9"/>
        <v>2.1691289032031382E-4</v>
      </c>
      <c r="N28" s="284">
        <f t="shared" si="10"/>
        <v>3.1754153561916744E-5</v>
      </c>
      <c r="O28" s="286">
        <f t="shared" si="11"/>
        <v>1.3914622088178705E-4</v>
      </c>
    </row>
    <row r="29" spans="1:15">
      <c r="A29" s="263">
        <v>785</v>
      </c>
      <c r="B29" s="294" t="str">
        <f>VLOOKUP(A29,'PM Protocol'!$A$12:$B$104,2,FALSE)</f>
        <v>n/a</v>
      </c>
      <c r="C29" s="264" t="s">
        <v>689</v>
      </c>
      <c r="D29" s="282">
        <f>AVERAGEIFS('PM Protocol'!$E30:$Z30,'PM Protocol'!$E$9:$Z$9,"="&amp;Composites!D$8,'PM Protocol'!$E$10:$Z$10,"="&amp;Composites!D$9)</f>
        <v>0</v>
      </c>
      <c r="E29" s="284">
        <f>AVERAGEIFS('PM Protocol'!$E30:$Z30,'PM Protocol'!$E$9:$Z$9,"="&amp;Composites!E$8,'PM Protocol'!$E$10:$Z$10,"="&amp;Composites!E$9)</f>
        <v>0</v>
      </c>
      <c r="F29" s="284">
        <f>AVERAGEIFS('PM Protocol'!$E30:$Z30,'PM Protocol'!$E$9:$Z$9,"="&amp;Composites!F$8,'PM Protocol'!$E$10:$Z$10,"="&amp;Composites!F$9)</f>
        <v>0</v>
      </c>
      <c r="G29" s="284">
        <f>AVERAGEIFS('PM Protocol'!$E30:$Z30,'PM Protocol'!$E$9:$Z$9,"="&amp;Composites!G$8,'PM Protocol'!$E$10:$Z$10,"="&amp;Composites!G$9)</f>
        <v>0</v>
      </c>
      <c r="H29" s="284">
        <f>AVERAGEIFS('PM Protocol'!$E30:$Z30,'PM Protocol'!$E$9:$Z$9,"="&amp;Composites!H$8,'PM Protocol'!$E$10:$Z$10,"="&amp;Composites!H$9)</f>
        <v>0</v>
      </c>
      <c r="I29" s="284">
        <f>AVERAGEIFS('PM Protocol'!$E30:$Z30,'PM Protocol'!$E$9:$Z$9,"="&amp;Composites!I$8,'PM Protocol'!$E$10:$Z$10,"="&amp;Composites!I$9)</f>
        <v>0</v>
      </c>
      <c r="J29" s="284">
        <f t="shared" si="6"/>
        <v>0</v>
      </c>
      <c r="K29" s="284">
        <f t="shared" si="7"/>
        <v>0</v>
      </c>
      <c r="L29" s="284">
        <f t="shared" si="8"/>
        <v>0</v>
      </c>
      <c r="M29" s="284">
        <f t="shared" si="9"/>
        <v>0</v>
      </c>
      <c r="N29" s="284">
        <f t="shared" si="10"/>
        <v>0</v>
      </c>
      <c r="O29" s="286">
        <f t="shared" si="11"/>
        <v>0</v>
      </c>
    </row>
    <row r="30" spans="1:15">
      <c r="A30" s="263">
        <v>795</v>
      </c>
      <c r="B30" s="294" t="str">
        <f>VLOOKUP(A30,'PM Protocol'!$A$12:$B$104,2,FALSE)</f>
        <v>XRF</v>
      </c>
      <c r="C30" s="264" t="s">
        <v>690</v>
      </c>
      <c r="D30" s="282">
        <f>AVERAGEIFS('PM Protocol'!$E31:$Z31,'PM Protocol'!$E$9:$Z$9,"="&amp;Composites!D$8,'PM Protocol'!$E$10:$Z$10,"="&amp;Composites!D$9)</f>
        <v>5.5361753243755819E-3</v>
      </c>
      <c r="E30" s="284">
        <f>AVERAGEIFS('PM Protocol'!$E31:$Z31,'PM Protocol'!$E$9:$Z$9,"="&amp;Composites!E$8,'PM Protocol'!$E$10:$Z$10,"="&amp;Composites!E$9)</f>
        <v>1.6407874883790907E-3</v>
      </c>
      <c r="F30" s="284">
        <f>AVERAGEIFS('PM Protocol'!$E31:$Z31,'PM Protocol'!$E$9:$Z$9,"="&amp;Composites!F$8,'PM Protocol'!$E$10:$Z$10,"="&amp;Composites!F$9)</f>
        <v>6.7355523533858402E-3</v>
      </c>
      <c r="G30" s="284">
        <f>AVERAGEIFS('PM Protocol'!$E31:$Z31,'PM Protocol'!$E$9:$Z$9,"="&amp;Composites!G$8,'PM Protocol'!$E$10:$Z$10,"="&amp;Composites!G$9)</f>
        <v>1.1547887186456518E-3</v>
      </c>
      <c r="H30" s="284">
        <f>AVERAGEIFS('PM Protocol'!$E31:$Z31,'PM Protocol'!$E$9:$Z$9,"="&amp;Composites!H$8,'PM Protocol'!$E$10:$Z$10,"="&amp;Composites!H$9)</f>
        <v>2.2249613065712616E-3</v>
      </c>
      <c r="I30" s="284">
        <f>AVERAGEIFS('PM Protocol'!$E31:$Z31,'PM Protocol'!$E$9:$Z$9,"="&amp;Composites!I$8,'PM Protocol'!$E$10:$Z$10,"="&amp;Composites!I$9)</f>
        <v>1.306697901164735E-3</v>
      </c>
      <c r="J30" s="284">
        <f t="shared" si="6"/>
        <v>3.9001124332570555E-3</v>
      </c>
      <c r="K30" s="284">
        <f t="shared" si="7"/>
        <v>4.3916316267949606E-3</v>
      </c>
      <c r="L30" s="284">
        <f t="shared" si="8"/>
        <v>1.8392906763005203E-3</v>
      </c>
      <c r="M30" s="284">
        <f t="shared" si="9"/>
        <v>5.7903965836389563E-3</v>
      </c>
      <c r="N30" s="284">
        <f t="shared" si="10"/>
        <v>1.4539834396116694E-3</v>
      </c>
      <c r="O30" s="286">
        <f t="shared" si="11"/>
        <v>3.9691030631474958E-3</v>
      </c>
    </row>
    <row r="31" spans="1:15">
      <c r="A31" s="263">
        <v>337</v>
      </c>
      <c r="B31" s="294" t="str">
        <f>VLOOKUP(A31,'PM Protocol'!$A$12:$B$104,2,FALSE)</f>
        <v>n/a</v>
      </c>
      <c r="C31" s="264" t="s">
        <v>690</v>
      </c>
      <c r="D31" s="282">
        <f>AVERAGEIFS('PM Protocol'!$E32:$Z32,'PM Protocol'!$E$9:$Z$9,"="&amp;Composites!D$8,'PM Protocol'!$E$10:$Z$10,"="&amp;Composites!D$9)</f>
        <v>0</v>
      </c>
      <c r="E31" s="284">
        <f>AVERAGEIFS('PM Protocol'!$E32:$Z32,'PM Protocol'!$E$9:$Z$9,"="&amp;Composites!E$8,'PM Protocol'!$E$10:$Z$10,"="&amp;Composites!E$9)</f>
        <v>0</v>
      </c>
      <c r="F31" s="284">
        <f>AVERAGEIFS('PM Protocol'!$E32:$Z32,'PM Protocol'!$E$9:$Z$9,"="&amp;Composites!F$8,'PM Protocol'!$E$10:$Z$10,"="&amp;Composites!F$9)</f>
        <v>0</v>
      </c>
      <c r="G31" s="284">
        <f>AVERAGEIFS('PM Protocol'!$E32:$Z32,'PM Protocol'!$E$9:$Z$9,"="&amp;Composites!G$8,'PM Protocol'!$E$10:$Z$10,"="&amp;Composites!G$9)</f>
        <v>0</v>
      </c>
      <c r="H31" s="284">
        <f>AVERAGEIFS('PM Protocol'!$E32:$Z32,'PM Protocol'!$E$9:$Z$9,"="&amp;Composites!H$8,'PM Protocol'!$E$10:$Z$10,"="&amp;Composites!H$9)</f>
        <v>0</v>
      </c>
      <c r="I31" s="284">
        <f>AVERAGEIFS('PM Protocol'!$E32:$Z32,'PM Protocol'!$E$9:$Z$9,"="&amp;Composites!I$8,'PM Protocol'!$E$10:$Z$10,"="&amp;Composites!I$9)</f>
        <v>0</v>
      </c>
      <c r="J31" s="284">
        <f t="shared" si="6"/>
        <v>0</v>
      </c>
      <c r="K31" s="284">
        <f t="shared" si="7"/>
        <v>0</v>
      </c>
      <c r="L31" s="284">
        <f t="shared" si="8"/>
        <v>0</v>
      </c>
      <c r="M31" s="284">
        <f t="shared" si="9"/>
        <v>0</v>
      </c>
      <c r="N31" s="284">
        <f t="shared" si="10"/>
        <v>0</v>
      </c>
      <c r="O31" s="286">
        <f t="shared" si="11"/>
        <v>0</v>
      </c>
    </row>
    <row r="32" spans="1:15">
      <c r="A32" s="263">
        <v>2668</v>
      </c>
      <c r="B32" s="294" t="str">
        <f>VLOOKUP(A32,'PM Protocol'!$A$12:$B$104,2,FALSE)</f>
        <v>Inferred</v>
      </c>
      <c r="C32" s="264" t="s">
        <v>691</v>
      </c>
      <c r="D32" s="282">
        <f>AVERAGEIFS('PM Protocol'!$E33:$Z33,'PM Protocol'!$E$9:$Z$9,"="&amp;Composites!D$8,'PM Protocol'!$E$10:$Z$10,"="&amp;Composites!D$9)</f>
        <v>4.8179495413151925E-3</v>
      </c>
      <c r="E32" s="284">
        <f>AVERAGEIFS('PM Protocol'!$E33:$Z33,'PM Protocol'!$E$9:$Z$9,"="&amp;Composites!E$8,'PM Protocol'!$E$10:$Z$10,"="&amp;Composites!E$9)</f>
        <v>8.3031896357430024E-4</v>
      </c>
      <c r="F32" s="284">
        <f>AVERAGEIFS('PM Protocol'!$E33:$Z33,'PM Protocol'!$E$9:$Z$9,"="&amp;Composites!F$8,'PM Protocol'!$E$10:$Z$10,"="&amp;Composites!F$9)</f>
        <v>4.66121837084811E-3</v>
      </c>
      <c r="G32" s="284">
        <f>AVERAGEIFS('PM Protocol'!$E33:$Z33,'PM Protocol'!$E$9:$Z$9,"="&amp;Composites!G$8,'PM Protocol'!$E$10:$Z$10,"="&amp;Composites!G$9)</f>
        <v>9.0908220979418839E-4</v>
      </c>
      <c r="H32" s="284">
        <f>AVERAGEIFS('PM Protocol'!$E33:$Z33,'PM Protocol'!$E$9:$Z$9,"="&amp;Composites!H$8,'PM Protocol'!$E$10:$Z$10,"="&amp;Composites!H$9)</f>
        <v>1.0646070960237633E-3</v>
      </c>
      <c r="I32" s="284">
        <f>AVERAGEIFS('PM Protocol'!$E33:$Z33,'PM Protocol'!$E$9:$Z$9,"="&amp;Composites!I$8,'PM Protocol'!$E$10:$Z$10,"="&amp;Composites!I$9)</f>
        <v>9.1640837766465829E-4</v>
      </c>
      <c r="J32" s="284">
        <f t="shared" si="6"/>
        <v>3.1431446986640173E-3</v>
      </c>
      <c r="K32" s="284">
        <f t="shared" si="7"/>
        <v>3.0853211832054628E-3</v>
      </c>
      <c r="L32" s="284">
        <f t="shared" si="8"/>
        <v>1.002363634312939E-3</v>
      </c>
      <c r="M32" s="284">
        <f t="shared" si="9"/>
        <v>4.5754265093871423E-3</v>
      </c>
      <c r="N32" s="284">
        <f t="shared" si="10"/>
        <v>8.6219057045577895E-4</v>
      </c>
      <c r="O32" s="286">
        <f t="shared" si="11"/>
        <v>3.0158674150359693E-3</v>
      </c>
    </row>
    <row r="33" spans="1:15">
      <c r="A33" s="263">
        <v>3245</v>
      </c>
      <c r="B33" s="294" t="str">
        <f>VLOOKUP(A33,'PM Protocol'!$A$12:$B$104,2,FALSE)</f>
        <v>n/a</v>
      </c>
      <c r="C33" s="264" t="s">
        <v>692</v>
      </c>
      <c r="D33" s="282">
        <f>AVERAGEIFS('PM Protocol'!$E34:$Z34,'PM Protocol'!$E$9:$Z$9,"="&amp;Composites!D$8,'PM Protocol'!$E$10:$Z$10,"="&amp;Composites!D$9)</f>
        <v>0</v>
      </c>
      <c r="E33" s="284">
        <f>AVERAGEIFS('PM Protocol'!$E34:$Z34,'PM Protocol'!$E$9:$Z$9,"="&amp;Composites!E$8,'PM Protocol'!$E$10:$Z$10,"="&amp;Composites!E$9)</f>
        <v>0</v>
      </c>
      <c r="F33" s="284">
        <f>AVERAGEIFS('PM Protocol'!$E34:$Z34,'PM Protocol'!$E$9:$Z$9,"="&amp;Composites!F$8,'PM Protocol'!$E$10:$Z$10,"="&amp;Composites!F$9)</f>
        <v>0</v>
      </c>
      <c r="G33" s="284">
        <f>AVERAGEIFS('PM Protocol'!$E34:$Z34,'PM Protocol'!$E$9:$Z$9,"="&amp;Composites!G$8,'PM Protocol'!$E$10:$Z$10,"="&amp;Composites!G$9)</f>
        <v>0</v>
      </c>
      <c r="H33" s="284">
        <f>AVERAGEIFS('PM Protocol'!$E34:$Z34,'PM Protocol'!$E$9:$Z$9,"="&amp;Composites!H$8,'PM Protocol'!$E$10:$Z$10,"="&amp;Composites!H$9)</f>
        <v>0</v>
      </c>
      <c r="I33" s="284">
        <f>AVERAGEIFS('PM Protocol'!$E34:$Z34,'PM Protocol'!$E$9:$Z$9,"="&amp;Composites!I$8,'PM Protocol'!$E$10:$Z$10,"="&amp;Composites!I$9)</f>
        <v>0</v>
      </c>
      <c r="J33" s="284">
        <f t="shared" si="6"/>
        <v>0</v>
      </c>
      <c r="K33" s="284">
        <f t="shared" si="7"/>
        <v>0</v>
      </c>
      <c r="L33" s="284">
        <f t="shared" si="8"/>
        <v>0</v>
      </c>
      <c r="M33" s="284">
        <f t="shared" si="9"/>
        <v>0</v>
      </c>
      <c r="N33" s="284">
        <f t="shared" si="10"/>
        <v>0</v>
      </c>
      <c r="O33" s="286">
        <f t="shared" si="11"/>
        <v>0</v>
      </c>
    </row>
    <row r="34" spans="1:15">
      <c r="A34" s="263">
        <v>3246</v>
      </c>
      <c r="B34" s="294" t="str">
        <f>VLOOKUP(A34,'PM Protocol'!$A$12:$B$104,2,FALSE)</f>
        <v>n/a</v>
      </c>
      <c r="C34" s="264" t="s">
        <v>693</v>
      </c>
      <c r="D34" s="282">
        <f>AVERAGEIFS('PM Protocol'!$E35:$Z35,'PM Protocol'!$E$9:$Z$9,"="&amp;Composites!D$8,'PM Protocol'!$E$10:$Z$10,"="&amp;Composites!D$9)</f>
        <v>0</v>
      </c>
      <c r="E34" s="284">
        <f>AVERAGEIFS('PM Protocol'!$E35:$Z35,'PM Protocol'!$E$9:$Z$9,"="&amp;Composites!E$8,'PM Protocol'!$E$10:$Z$10,"="&amp;Composites!E$9)</f>
        <v>0</v>
      </c>
      <c r="F34" s="284">
        <f>AVERAGEIFS('PM Protocol'!$E35:$Z35,'PM Protocol'!$E$9:$Z$9,"="&amp;Composites!F$8,'PM Protocol'!$E$10:$Z$10,"="&amp;Composites!F$9)</f>
        <v>0</v>
      </c>
      <c r="G34" s="284">
        <f>AVERAGEIFS('PM Protocol'!$E35:$Z35,'PM Protocol'!$E$9:$Z$9,"="&amp;Composites!G$8,'PM Protocol'!$E$10:$Z$10,"="&amp;Composites!G$9)</f>
        <v>0</v>
      </c>
      <c r="H34" s="284">
        <f>AVERAGEIFS('PM Protocol'!$E35:$Z35,'PM Protocol'!$E$9:$Z$9,"="&amp;Composites!H$8,'PM Protocol'!$E$10:$Z$10,"="&amp;Composites!H$9)</f>
        <v>0</v>
      </c>
      <c r="I34" s="284">
        <f>AVERAGEIFS('PM Protocol'!$E35:$Z35,'PM Protocol'!$E$9:$Z$9,"="&amp;Composites!I$8,'PM Protocol'!$E$10:$Z$10,"="&amp;Composites!I$9)</f>
        <v>0</v>
      </c>
      <c r="J34" s="284">
        <f t="shared" si="6"/>
        <v>0</v>
      </c>
      <c r="K34" s="284">
        <f t="shared" si="7"/>
        <v>0</v>
      </c>
      <c r="L34" s="284">
        <f t="shared" si="8"/>
        <v>0</v>
      </c>
      <c r="M34" s="284">
        <f t="shared" si="9"/>
        <v>0</v>
      </c>
      <c r="N34" s="284">
        <f t="shared" si="10"/>
        <v>0</v>
      </c>
      <c r="O34" s="286">
        <f t="shared" si="11"/>
        <v>0</v>
      </c>
    </row>
    <row r="35" spans="1:15">
      <c r="A35" s="263">
        <v>3247</v>
      </c>
      <c r="B35" s="294" t="str">
        <f>VLOOKUP(A35,'PM Protocol'!$A$12:$B$104,2,FALSE)</f>
        <v>n/a</v>
      </c>
      <c r="C35" s="264" t="s">
        <v>694</v>
      </c>
      <c r="D35" s="282">
        <f>AVERAGEIFS('PM Protocol'!$E36:$Z36,'PM Protocol'!$E$9:$Z$9,"="&amp;Composites!D$8,'PM Protocol'!$E$10:$Z$10,"="&amp;Composites!D$9)</f>
        <v>0</v>
      </c>
      <c r="E35" s="284">
        <f>AVERAGEIFS('PM Protocol'!$E36:$Z36,'PM Protocol'!$E$9:$Z$9,"="&amp;Composites!E$8,'PM Protocol'!$E$10:$Z$10,"="&amp;Composites!E$9)</f>
        <v>0</v>
      </c>
      <c r="F35" s="284">
        <f>AVERAGEIFS('PM Protocol'!$E36:$Z36,'PM Protocol'!$E$9:$Z$9,"="&amp;Composites!F$8,'PM Protocol'!$E$10:$Z$10,"="&amp;Composites!F$9)</f>
        <v>0</v>
      </c>
      <c r="G35" s="284">
        <f>AVERAGEIFS('PM Protocol'!$E36:$Z36,'PM Protocol'!$E$9:$Z$9,"="&amp;Composites!G$8,'PM Protocol'!$E$10:$Z$10,"="&amp;Composites!G$9)</f>
        <v>0</v>
      </c>
      <c r="H35" s="284">
        <f>AVERAGEIFS('PM Protocol'!$E36:$Z36,'PM Protocol'!$E$9:$Z$9,"="&amp;Composites!H$8,'PM Protocol'!$E$10:$Z$10,"="&amp;Composites!H$9)</f>
        <v>0</v>
      </c>
      <c r="I35" s="284">
        <f>AVERAGEIFS('PM Protocol'!$E36:$Z36,'PM Protocol'!$E$9:$Z$9,"="&amp;Composites!I$8,'PM Protocol'!$E$10:$Z$10,"="&amp;Composites!I$9)</f>
        <v>0</v>
      </c>
      <c r="J35" s="284">
        <f t="shared" si="6"/>
        <v>0</v>
      </c>
      <c r="K35" s="284">
        <f t="shared" si="7"/>
        <v>0</v>
      </c>
      <c r="L35" s="284">
        <f t="shared" si="8"/>
        <v>0</v>
      </c>
      <c r="M35" s="284">
        <f t="shared" si="9"/>
        <v>0</v>
      </c>
      <c r="N35" s="284">
        <f t="shared" si="10"/>
        <v>0</v>
      </c>
      <c r="O35" s="286">
        <f t="shared" si="11"/>
        <v>0</v>
      </c>
    </row>
    <row r="36" spans="1:15">
      <c r="A36" s="263">
        <v>3248</v>
      </c>
      <c r="B36" s="294" t="str">
        <f>VLOOKUP(A36,'PM Protocol'!$A$12:$B$104,2,FALSE)</f>
        <v>n/a</v>
      </c>
      <c r="C36" s="264" t="s">
        <v>695</v>
      </c>
      <c r="D36" s="282">
        <f>AVERAGEIFS('PM Protocol'!$E37:$Z37,'PM Protocol'!$E$9:$Z$9,"="&amp;Composites!D$8,'PM Protocol'!$E$10:$Z$10,"="&amp;Composites!D$9)</f>
        <v>0</v>
      </c>
      <c r="E36" s="284">
        <f>AVERAGEIFS('PM Protocol'!$E37:$Z37,'PM Protocol'!$E$9:$Z$9,"="&amp;Composites!E$8,'PM Protocol'!$E$10:$Z$10,"="&amp;Composites!E$9)</f>
        <v>0</v>
      </c>
      <c r="F36" s="284">
        <f>AVERAGEIFS('PM Protocol'!$E37:$Z37,'PM Protocol'!$E$9:$Z$9,"="&amp;Composites!F$8,'PM Protocol'!$E$10:$Z$10,"="&amp;Composites!F$9)</f>
        <v>0</v>
      </c>
      <c r="G36" s="284">
        <f>AVERAGEIFS('PM Protocol'!$E37:$Z37,'PM Protocol'!$E$9:$Z$9,"="&amp;Composites!G$8,'PM Protocol'!$E$10:$Z$10,"="&amp;Composites!G$9)</f>
        <v>0</v>
      </c>
      <c r="H36" s="284">
        <f>AVERAGEIFS('PM Protocol'!$E37:$Z37,'PM Protocol'!$E$9:$Z$9,"="&amp;Composites!H$8,'PM Protocol'!$E$10:$Z$10,"="&amp;Composites!H$9)</f>
        <v>0</v>
      </c>
      <c r="I36" s="284">
        <f>AVERAGEIFS('PM Protocol'!$E37:$Z37,'PM Protocol'!$E$9:$Z$9,"="&amp;Composites!I$8,'PM Protocol'!$E$10:$Z$10,"="&amp;Composites!I$9)</f>
        <v>0</v>
      </c>
      <c r="J36" s="284">
        <f t="shared" si="6"/>
        <v>0</v>
      </c>
      <c r="K36" s="284">
        <f t="shared" si="7"/>
        <v>0</v>
      </c>
      <c r="L36" s="284">
        <f t="shared" si="8"/>
        <v>0</v>
      </c>
      <c r="M36" s="284">
        <f t="shared" si="9"/>
        <v>0</v>
      </c>
      <c r="N36" s="284">
        <f t="shared" si="10"/>
        <v>0</v>
      </c>
      <c r="O36" s="286">
        <f t="shared" si="11"/>
        <v>0</v>
      </c>
    </row>
    <row r="37" spans="1:15">
      <c r="A37" s="263">
        <v>3249</v>
      </c>
      <c r="B37" s="294" t="str">
        <f>VLOOKUP(A37,'PM Protocol'!$A$12:$B$104,2,FALSE)</f>
        <v>n/a</v>
      </c>
      <c r="C37" s="264" t="s">
        <v>696</v>
      </c>
      <c r="D37" s="282">
        <f>AVERAGEIFS('PM Protocol'!$E38:$Z38,'PM Protocol'!$E$9:$Z$9,"="&amp;Composites!D$8,'PM Protocol'!$E$10:$Z$10,"="&amp;Composites!D$9)</f>
        <v>0</v>
      </c>
      <c r="E37" s="284">
        <f>AVERAGEIFS('PM Protocol'!$E38:$Z38,'PM Protocol'!$E$9:$Z$9,"="&amp;Composites!E$8,'PM Protocol'!$E$10:$Z$10,"="&amp;Composites!E$9)</f>
        <v>0</v>
      </c>
      <c r="F37" s="284">
        <f>AVERAGEIFS('PM Protocol'!$E38:$Z38,'PM Protocol'!$E$9:$Z$9,"="&amp;Composites!F$8,'PM Protocol'!$E$10:$Z$10,"="&amp;Composites!F$9)</f>
        <v>0</v>
      </c>
      <c r="G37" s="284">
        <f>AVERAGEIFS('PM Protocol'!$E38:$Z38,'PM Protocol'!$E$9:$Z$9,"="&amp;Composites!G$8,'PM Protocol'!$E$10:$Z$10,"="&amp;Composites!G$9)</f>
        <v>0</v>
      </c>
      <c r="H37" s="284">
        <f>AVERAGEIFS('PM Protocol'!$E38:$Z38,'PM Protocol'!$E$9:$Z$9,"="&amp;Composites!H$8,'PM Protocol'!$E$10:$Z$10,"="&amp;Composites!H$9)</f>
        <v>0</v>
      </c>
      <c r="I37" s="284">
        <f>AVERAGEIFS('PM Protocol'!$E38:$Z38,'PM Protocol'!$E$9:$Z$9,"="&amp;Composites!I$8,'PM Protocol'!$E$10:$Z$10,"="&amp;Composites!I$9)</f>
        <v>0</v>
      </c>
      <c r="J37" s="284">
        <f t="shared" si="6"/>
        <v>0</v>
      </c>
      <c r="K37" s="284">
        <f t="shared" si="7"/>
        <v>0</v>
      </c>
      <c r="L37" s="284">
        <f t="shared" si="8"/>
        <v>0</v>
      </c>
      <c r="M37" s="284">
        <f t="shared" si="9"/>
        <v>0</v>
      </c>
      <c r="N37" s="284">
        <f t="shared" si="10"/>
        <v>0</v>
      </c>
      <c r="O37" s="286">
        <f t="shared" si="11"/>
        <v>0</v>
      </c>
    </row>
    <row r="38" spans="1:15">
      <c r="A38" s="263">
        <v>3250</v>
      </c>
      <c r="B38" s="294" t="str">
        <f>VLOOKUP(A38,'PM Protocol'!$A$12:$B$104,2,FALSE)</f>
        <v>n/a</v>
      </c>
      <c r="C38" s="264" t="s">
        <v>697</v>
      </c>
      <c r="D38" s="282">
        <f>AVERAGEIFS('PM Protocol'!$E39:$Z39,'PM Protocol'!$E$9:$Z$9,"="&amp;Composites!D$8,'PM Protocol'!$E$10:$Z$10,"="&amp;Composites!D$9)</f>
        <v>0</v>
      </c>
      <c r="E38" s="284">
        <f>AVERAGEIFS('PM Protocol'!$E39:$Z39,'PM Protocol'!$E$9:$Z$9,"="&amp;Composites!E$8,'PM Protocol'!$E$10:$Z$10,"="&amp;Composites!E$9)</f>
        <v>0</v>
      </c>
      <c r="F38" s="284">
        <f>AVERAGEIFS('PM Protocol'!$E39:$Z39,'PM Protocol'!$E$9:$Z$9,"="&amp;Composites!F$8,'PM Protocol'!$E$10:$Z$10,"="&amp;Composites!F$9)</f>
        <v>0</v>
      </c>
      <c r="G38" s="284">
        <f>AVERAGEIFS('PM Protocol'!$E39:$Z39,'PM Protocol'!$E$9:$Z$9,"="&amp;Composites!G$8,'PM Protocol'!$E$10:$Z$10,"="&amp;Composites!G$9)</f>
        <v>0</v>
      </c>
      <c r="H38" s="284">
        <f>AVERAGEIFS('PM Protocol'!$E39:$Z39,'PM Protocol'!$E$9:$Z$9,"="&amp;Composites!H$8,'PM Protocol'!$E$10:$Z$10,"="&amp;Composites!H$9)</f>
        <v>0</v>
      </c>
      <c r="I38" s="284">
        <f>AVERAGEIFS('PM Protocol'!$E39:$Z39,'PM Protocol'!$E$9:$Z$9,"="&amp;Composites!I$8,'PM Protocol'!$E$10:$Z$10,"="&amp;Composites!I$9)</f>
        <v>0</v>
      </c>
      <c r="J38" s="284">
        <f t="shared" si="6"/>
        <v>0</v>
      </c>
      <c r="K38" s="284">
        <f t="shared" si="7"/>
        <v>0</v>
      </c>
      <c r="L38" s="284">
        <f t="shared" si="8"/>
        <v>0</v>
      </c>
      <c r="M38" s="284">
        <f t="shared" si="9"/>
        <v>0</v>
      </c>
      <c r="N38" s="284">
        <f t="shared" si="10"/>
        <v>0</v>
      </c>
      <c r="O38" s="286">
        <f t="shared" si="11"/>
        <v>0</v>
      </c>
    </row>
    <row r="39" spans="1:15">
      <c r="A39" s="263">
        <v>3251</v>
      </c>
      <c r="B39" s="294" t="str">
        <f>VLOOKUP(A39,'PM Protocol'!$A$12:$B$104,2,FALSE)</f>
        <v>n/a</v>
      </c>
      <c r="C39" s="264" t="s">
        <v>698</v>
      </c>
      <c r="D39" s="282">
        <f>AVERAGEIFS('PM Protocol'!$E40:$Z40,'PM Protocol'!$E$9:$Z$9,"="&amp;Composites!D$8,'PM Protocol'!$E$10:$Z$10,"="&amp;Composites!D$9)</f>
        <v>0</v>
      </c>
      <c r="E39" s="284">
        <f>AVERAGEIFS('PM Protocol'!$E40:$Z40,'PM Protocol'!$E$9:$Z$9,"="&amp;Composites!E$8,'PM Protocol'!$E$10:$Z$10,"="&amp;Composites!E$9)</f>
        <v>0</v>
      </c>
      <c r="F39" s="284">
        <f>AVERAGEIFS('PM Protocol'!$E40:$Z40,'PM Protocol'!$E$9:$Z$9,"="&amp;Composites!F$8,'PM Protocol'!$E$10:$Z$10,"="&amp;Composites!F$9)</f>
        <v>0</v>
      </c>
      <c r="G39" s="284">
        <f>AVERAGEIFS('PM Protocol'!$E40:$Z40,'PM Protocol'!$E$9:$Z$9,"="&amp;Composites!G$8,'PM Protocol'!$E$10:$Z$10,"="&amp;Composites!G$9)</f>
        <v>0</v>
      </c>
      <c r="H39" s="284">
        <f>AVERAGEIFS('PM Protocol'!$E40:$Z40,'PM Protocol'!$E$9:$Z$9,"="&amp;Composites!H$8,'PM Protocol'!$E$10:$Z$10,"="&amp;Composites!H$9)</f>
        <v>0</v>
      </c>
      <c r="I39" s="284">
        <f>AVERAGEIFS('PM Protocol'!$E40:$Z40,'PM Protocol'!$E$9:$Z$9,"="&amp;Composites!I$8,'PM Protocol'!$E$10:$Z$10,"="&amp;Composites!I$9)</f>
        <v>0</v>
      </c>
      <c r="J39" s="284">
        <f t="shared" si="6"/>
        <v>0</v>
      </c>
      <c r="K39" s="284">
        <f t="shared" si="7"/>
        <v>0</v>
      </c>
      <c r="L39" s="284">
        <f t="shared" si="8"/>
        <v>0</v>
      </c>
      <c r="M39" s="284">
        <f t="shared" si="9"/>
        <v>0</v>
      </c>
      <c r="N39" s="284">
        <f t="shared" si="10"/>
        <v>0</v>
      </c>
      <c r="O39" s="286">
        <f t="shared" si="11"/>
        <v>0</v>
      </c>
    </row>
    <row r="40" spans="1:15">
      <c r="A40" s="263">
        <v>3252</v>
      </c>
      <c r="B40" s="294" t="str">
        <f>VLOOKUP(A40,'PM Protocol'!$A$12:$B$104,2,FALSE)</f>
        <v>n/a</v>
      </c>
      <c r="C40" s="264" t="s">
        <v>699</v>
      </c>
      <c r="D40" s="282">
        <f>AVERAGEIFS('PM Protocol'!$E41:$Z41,'PM Protocol'!$E$9:$Z$9,"="&amp;Composites!D$8,'PM Protocol'!$E$10:$Z$10,"="&amp;Composites!D$9)</f>
        <v>0</v>
      </c>
      <c r="E40" s="284">
        <f>AVERAGEIFS('PM Protocol'!$E41:$Z41,'PM Protocol'!$E$9:$Z$9,"="&amp;Composites!E$8,'PM Protocol'!$E$10:$Z$10,"="&amp;Composites!E$9)</f>
        <v>0</v>
      </c>
      <c r="F40" s="284">
        <f>AVERAGEIFS('PM Protocol'!$E41:$Z41,'PM Protocol'!$E$9:$Z$9,"="&amp;Composites!F$8,'PM Protocol'!$E$10:$Z$10,"="&amp;Composites!F$9)</f>
        <v>0</v>
      </c>
      <c r="G40" s="284">
        <f>AVERAGEIFS('PM Protocol'!$E41:$Z41,'PM Protocol'!$E$9:$Z$9,"="&amp;Composites!G$8,'PM Protocol'!$E$10:$Z$10,"="&amp;Composites!G$9)</f>
        <v>0</v>
      </c>
      <c r="H40" s="284">
        <f>AVERAGEIFS('PM Protocol'!$E41:$Z41,'PM Protocol'!$E$9:$Z$9,"="&amp;Composites!H$8,'PM Protocol'!$E$10:$Z$10,"="&amp;Composites!H$9)</f>
        <v>0</v>
      </c>
      <c r="I40" s="284">
        <f>AVERAGEIFS('PM Protocol'!$E41:$Z41,'PM Protocol'!$E$9:$Z$9,"="&amp;Composites!I$8,'PM Protocol'!$E$10:$Z$10,"="&amp;Composites!I$9)</f>
        <v>0</v>
      </c>
      <c r="J40" s="284">
        <f t="shared" si="6"/>
        <v>0</v>
      </c>
      <c r="K40" s="284">
        <f t="shared" si="7"/>
        <v>0</v>
      </c>
      <c r="L40" s="284">
        <f t="shared" si="8"/>
        <v>0</v>
      </c>
      <c r="M40" s="284">
        <f t="shared" si="9"/>
        <v>0</v>
      </c>
      <c r="N40" s="284">
        <f t="shared" si="10"/>
        <v>0</v>
      </c>
      <c r="O40" s="286">
        <f t="shared" si="11"/>
        <v>0</v>
      </c>
    </row>
    <row r="41" spans="1:15">
      <c r="A41" s="263">
        <v>3253</v>
      </c>
      <c r="B41" s="294" t="str">
        <f>VLOOKUP(A41,'PM Protocol'!$A$12:$B$104,2,FALSE)</f>
        <v>n/a</v>
      </c>
      <c r="C41" s="264" t="s">
        <v>700</v>
      </c>
      <c r="D41" s="282">
        <f>AVERAGEIFS('PM Protocol'!$E42:$Z42,'PM Protocol'!$E$9:$Z$9,"="&amp;Composites!D$8,'PM Protocol'!$E$10:$Z$10,"="&amp;Composites!D$9)</f>
        <v>0</v>
      </c>
      <c r="E41" s="284">
        <f>AVERAGEIFS('PM Protocol'!$E42:$Z42,'PM Protocol'!$E$9:$Z$9,"="&amp;Composites!E$8,'PM Protocol'!$E$10:$Z$10,"="&amp;Composites!E$9)</f>
        <v>0</v>
      </c>
      <c r="F41" s="284">
        <f>AVERAGEIFS('PM Protocol'!$E42:$Z42,'PM Protocol'!$E$9:$Z$9,"="&amp;Composites!F$8,'PM Protocol'!$E$10:$Z$10,"="&amp;Composites!F$9)</f>
        <v>0</v>
      </c>
      <c r="G41" s="284">
        <f>AVERAGEIFS('PM Protocol'!$E42:$Z42,'PM Protocol'!$E$9:$Z$9,"="&amp;Composites!G$8,'PM Protocol'!$E$10:$Z$10,"="&amp;Composites!G$9)</f>
        <v>0</v>
      </c>
      <c r="H41" s="284">
        <f>AVERAGEIFS('PM Protocol'!$E42:$Z42,'PM Protocol'!$E$9:$Z$9,"="&amp;Composites!H$8,'PM Protocol'!$E$10:$Z$10,"="&amp;Composites!H$9)</f>
        <v>0</v>
      </c>
      <c r="I41" s="284">
        <f>AVERAGEIFS('PM Protocol'!$E42:$Z42,'PM Protocol'!$E$9:$Z$9,"="&amp;Composites!I$8,'PM Protocol'!$E$10:$Z$10,"="&amp;Composites!I$9)</f>
        <v>0</v>
      </c>
      <c r="J41" s="284">
        <f t="shared" si="6"/>
        <v>0</v>
      </c>
      <c r="K41" s="284">
        <f t="shared" si="7"/>
        <v>0</v>
      </c>
      <c r="L41" s="284">
        <f t="shared" si="8"/>
        <v>0</v>
      </c>
      <c r="M41" s="284">
        <f t="shared" si="9"/>
        <v>0</v>
      </c>
      <c r="N41" s="284">
        <f t="shared" si="10"/>
        <v>0</v>
      </c>
      <c r="O41" s="286">
        <f t="shared" si="11"/>
        <v>0</v>
      </c>
    </row>
    <row r="42" spans="1:15">
      <c r="A42" s="263">
        <v>3254</v>
      </c>
      <c r="B42" s="294" t="str">
        <f>VLOOKUP(A42,'PM Protocol'!$A$12:$B$104,2,FALSE)</f>
        <v>n/a</v>
      </c>
      <c r="C42" s="264" t="s">
        <v>701</v>
      </c>
      <c r="D42" s="282">
        <f>AVERAGEIFS('PM Protocol'!$E43:$Z43,'PM Protocol'!$E$9:$Z$9,"="&amp;Composites!D$8,'PM Protocol'!$E$10:$Z$10,"="&amp;Composites!D$9)</f>
        <v>0</v>
      </c>
      <c r="E42" s="284">
        <f>AVERAGEIFS('PM Protocol'!$E43:$Z43,'PM Protocol'!$E$9:$Z$9,"="&amp;Composites!E$8,'PM Protocol'!$E$10:$Z$10,"="&amp;Composites!E$9)</f>
        <v>0</v>
      </c>
      <c r="F42" s="284">
        <f>AVERAGEIFS('PM Protocol'!$E43:$Z43,'PM Protocol'!$E$9:$Z$9,"="&amp;Composites!F$8,'PM Protocol'!$E$10:$Z$10,"="&amp;Composites!F$9)</f>
        <v>0</v>
      </c>
      <c r="G42" s="284">
        <f>AVERAGEIFS('PM Protocol'!$E43:$Z43,'PM Protocol'!$E$9:$Z$9,"="&amp;Composites!G$8,'PM Protocol'!$E$10:$Z$10,"="&amp;Composites!G$9)</f>
        <v>0</v>
      </c>
      <c r="H42" s="284">
        <f>AVERAGEIFS('PM Protocol'!$E43:$Z43,'PM Protocol'!$E$9:$Z$9,"="&amp;Composites!H$8,'PM Protocol'!$E$10:$Z$10,"="&amp;Composites!H$9)</f>
        <v>0</v>
      </c>
      <c r="I42" s="284">
        <f>AVERAGEIFS('PM Protocol'!$E43:$Z43,'PM Protocol'!$E$9:$Z$9,"="&amp;Composites!I$8,'PM Protocol'!$E$10:$Z$10,"="&amp;Composites!I$9)</f>
        <v>0</v>
      </c>
      <c r="J42" s="284">
        <f t="shared" si="6"/>
        <v>0</v>
      </c>
      <c r="K42" s="284">
        <f t="shared" si="7"/>
        <v>0</v>
      </c>
      <c r="L42" s="284">
        <f t="shared" si="8"/>
        <v>0</v>
      </c>
      <c r="M42" s="284">
        <f t="shared" si="9"/>
        <v>0</v>
      </c>
      <c r="N42" s="284">
        <f t="shared" si="10"/>
        <v>0</v>
      </c>
      <c r="O42" s="286">
        <f t="shared" si="11"/>
        <v>0</v>
      </c>
    </row>
    <row r="43" spans="1:15">
      <c r="A43" s="263">
        <v>3331</v>
      </c>
      <c r="B43" s="294" t="str">
        <f>VLOOKUP(A43,'PM Protocol'!$A$12:$B$104,2,FALSE)</f>
        <v>n/a</v>
      </c>
      <c r="C43" s="264" t="s">
        <v>702</v>
      </c>
      <c r="D43" s="282">
        <f>AVERAGEIFS('PM Protocol'!$E44:$Z44,'PM Protocol'!$E$9:$Z$9,"="&amp;Composites!D$8,'PM Protocol'!$E$10:$Z$10,"="&amp;Composites!D$9)</f>
        <v>0</v>
      </c>
      <c r="E43" s="284">
        <f>AVERAGEIFS('PM Protocol'!$E44:$Z44,'PM Protocol'!$E$9:$Z$9,"="&amp;Composites!E$8,'PM Protocol'!$E$10:$Z$10,"="&amp;Composites!E$9)</f>
        <v>0</v>
      </c>
      <c r="F43" s="284">
        <f>AVERAGEIFS('PM Protocol'!$E44:$Z44,'PM Protocol'!$E$9:$Z$9,"="&amp;Composites!F$8,'PM Protocol'!$E$10:$Z$10,"="&amp;Composites!F$9)</f>
        <v>0</v>
      </c>
      <c r="G43" s="284">
        <f>AVERAGEIFS('PM Protocol'!$E44:$Z44,'PM Protocol'!$E$9:$Z$9,"="&amp;Composites!G$8,'PM Protocol'!$E$10:$Z$10,"="&amp;Composites!G$9)</f>
        <v>0</v>
      </c>
      <c r="H43" s="284">
        <f>AVERAGEIFS('PM Protocol'!$E44:$Z44,'PM Protocol'!$E$9:$Z$9,"="&amp;Composites!H$8,'PM Protocol'!$E$10:$Z$10,"="&amp;Composites!H$9)</f>
        <v>0</v>
      </c>
      <c r="I43" s="284">
        <f>AVERAGEIFS('PM Protocol'!$E44:$Z44,'PM Protocol'!$E$9:$Z$9,"="&amp;Composites!I$8,'PM Protocol'!$E$10:$Z$10,"="&amp;Composites!I$9)</f>
        <v>0</v>
      </c>
      <c r="J43" s="284">
        <f t="shared" si="6"/>
        <v>0</v>
      </c>
      <c r="K43" s="284">
        <f t="shared" si="7"/>
        <v>0</v>
      </c>
      <c r="L43" s="284">
        <f t="shared" si="8"/>
        <v>0</v>
      </c>
      <c r="M43" s="284">
        <f t="shared" si="9"/>
        <v>0</v>
      </c>
      <c r="N43" s="284">
        <f t="shared" si="10"/>
        <v>0</v>
      </c>
      <c r="O43" s="286">
        <f t="shared" si="11"/>
        <v>0</v>
      </c>
    </row>
    <row r="44" spans="1:15">
      <c r="A44" s="263">
        <v>3332</v>
      </c>
      <c r="B44" s="294" t="str">
        <f>VLOOKUP(A44,'PM Protocol'!$A$12:$B$104,2,FALSE)</f>
        <v>n/a</v>
      </c>
      <c r="C44" s="264" t="s">
        <v>703</v>
      </c>
      <c r="D44" s="282">
        <f>AVERAGEIFS('PM Protocol'!$E45:$Z45,'PM Protocol'!$E$9:$Z$9,"="&amp;Composites!D$8,'PM Protocol'!$E$10:$Z$10,"="&amp;Composites!D$9)</f>
        <v>0</v>
      </c>
      <c r="E44" s="284">
        <f>AVERAGEIFS('PM Protocol'!$E45:$Z45,'PM Protocol'!$E$9:$Z$9,"="&amp;Composites!E$8,'PM Protocol'!$E$10:$Z$10,"="&amp;Composites!E$9)</f>
        <v>0</v>
      </c>
      <c r="F44" s="284">
        <f>AVERAGEIFS('PM Protocol'!$E45:$Z45,'PM Protocol'!$E$9:$Z$9,"="&amp;Composites!F$8,'PM Protocol'!$E$10:$Z$10,"="&amp;Composites!F$9)</f>
        <v>0</v>
      </c>
      <c r="G44" s="284">
        <f>AVERAGEIFS('PM Protocol'!$E45:$Z45,'PM Protocol'!$E$9:$Z$9,"="&amp;Composites!G$8,'PM Protocol'!$E$10:$Z$10,"="&amp;Composites!G$9)</f>
        <v>0</v>
      </c>
      <c r="H44" s="284">
        <f>AVERAGEIFS('PM Protocol'!$E45:$Z45,'PM Protocol'!$E$9:$Z$9,"="&amp;Composites!H$8,'PM Protocol'!$E$10:$Z$10,"="&amp;Composites!H$9)</f>
        <v>0</v>
      </c>
      <c r="I44" s="284">
        <f>AVERAGEIFS('PM Protocol'!$E45:$Z45,'PM Protocol'!$E$9:$Z$9,"="&amp;Composites!I$8,'PM Protocol'!$E$10:$Z$10,"="&amp;Composites!I$9)</f>
        <v>0</v>
      </c>
      <c r="J44" s="284">
        <f t="shared" si="6"/>
        <v>0</v>
      </c>
      <c r="K44" s="284">
        <f t="shared" si="7"/>
        <v>0</v>
      </c>
      <c r="L44" s="284">
        <f t="shared" si="8"/>
        <v>0</v>
      </c>
      <c r="M44" s="284">
        <f t="shared" si="9"/>
        <v>0</v>
      </c>
      <c r="N44" s="284">
        <f t="shared" si="10"/>
        <v>0</v>
      </c>
      <c r="O44" s="286">
        <f t="shared" si="11"/>
        <v>0</v>
      </c>
    </row>
    <row r="45" spans="1:15">
      <c r="A45" s="263">
        <v>3333</v>
      </c>
      <c r="B45" s="294" t="str">
        <f>VLOOKUP(A45,'PM Protocol'!$A$12:$B$104,2,FALSE)</f>
        <v>n/a</v>
      </c>
      <c r="C45" s="264" t="s">
        <v>704</v>
      </c>
      <c r="D45" s="282">
        <f>AVERAGEIFS('PM Protocol'!$E46:$Z46,'PM Protocol'!$E$9:$Z$9,"="&amp;Composites!D$8,'PM Protocol'!$E$10:$Z$10,"="&amp;Composites!D$9)</f>
        <v>0</v>
      </c>
      <c r="E45" s="284">
        <f>AVERAGEIFS('PM Protocol'!$E46:$Z46,'PM Protocol'!$E$9:$Z$9,"="&amp;Composites!E$8,'PM Protocol'!$E$10:$Z$10,"="&amp;Composites!E$9)</f>
        <v>0</v>
      </c>
      <c r="F45" s="284">
        <f>AVERAGEIFS('PM Protocol'!$E46:$Z46,'PM Protocol'!$E$9:$Z$9,"="&amp;Composites!F$8,'PM Protocol'!$E$10:$Z$10,"="&amp;Composites!F$9)</f>
        <v>0</v>
      </c>
      <c r="G45" s="284">
        <f>AVERAGEIFS('PM Protocol'!$E46:$Z46,'PM Protocol'!$E$9:$Z$9,"="&amp;Composites!G$8,'PM Protocol'!$E$10:$Z$10,"="&amp;Composites!G$9)</f>
        <v>0</v>
      </c>
      <c r="H45" s="284">
        <f>AVERAGEIFS('PM Protocol'!$E46:$Z46,'PM Protocol'!$E$9:$Z$9,"="&amp;Composites!H$8,'PM Protocol'!$E$10:$Z$10,"="&amp;Composites!H$9)</f>
        <v>0</v>
      </c>
      <c r="I45" s="284">
        <f>AVERAGEIFS('PM Protocol'!$E46:$Z46,'PM Protocol'!$E$9:$Z$9,"="&amp;Composites!I$8,'PM Protocol'!$E$10:$Z$10,"="&amp;Composites!I$9)</f>
        <v>0</v>
      </c>
      <c r="J45" s="284">
        <f t="shared" si="6"/>
        <v>0</v>
      </c>
      <c r="K45" s="284">
        <f t="shared" si="7"/>
        <v>0</v>
      </c>
      <c r="L45" s="284">
        <f t="shared" si="8"/>
        <v>0</v>
      </c>
      <c r="M45" s="284">
        <f t="shared" si="9"/>
        <v>0</v>
      </c>
      <c r="N45" s="284">
        <f t="shared" si="10"/>
        <v>0</v>
      </c>
      <c r="O45" s="286">
        <f t="shared" si="11"/>
        <v>0</v>
      </c>
    </row>
    <row r="46" spans="1:15">
      <c r="A46" s="263">
        <v>3334</v>
      </c>
      <c r="B46" s="294" t="str">
        <f>VLOOKUP(A46,'PM Protocol'!$A$12:$B$104,2,FALSE)</f>
        <v>n/a</v>
      </c>
      <c r="C46" s="264" t="s">
        <v>705</v>
      </c>
      <c r="D46" s="282">
        <f>AVERAGEIFS('PM Protocol'!$E47:$Z47,'PM Protocol'!$E$9:$Z$9,"="&amp;Composites!D$8,'PM Protocol'!$E$10:$Z$10,"="&amp;Composites!D$9)</f>
        <v>0</v>
      </c>
      <c r="E46" s="284">
        <f>AVERAGEIFS('PM Protocol'!$E47:$Z47,'PM Protocol'!$E$9:$Z$9,"="&amp;Composites!E$8,'PM Protocol'!$E$10:$Z$10,"="&amp;Composites!E$9)</f>
        <v>0</v>
      </c>
      <c r="F46" s="284">
        <f>AVERAGEIFS('PM Protocol'!$E47:$Z47,'PM Protocol'!$E$9:$Z$9,"="&amp;Composites!F$8,'PM Protocol'!$E$10:$Z$10,"="&amp;Composites!F$9)</f>
        <v>0</v>
      </c>
      <c r="G46" s="284">
        <f>AVERAGEIFS('PM Protocol'!$E47:$Z47,'PM Protocol'!$E$9:$Z$9,"="&amp;Composites!G$8,'PM Protocol'!$E$10:$Z$10,"="&amp;Composites!G$9)</f>
        <v>0</v>
      </c>
      <c r="H46" s="284">
        <f>AVERAGEIFS('PM Protocol'!$E47:$Z47,'PM Protocol'!$E$9:$Z$9,"="&amp;Composites!H$8,'PM Protocol'!$E$10:$Z$10,"="&amp;Composites!H$9)</f>
        <v>0</v>
      </c>
      <c r="I46" s="284">
        <f>AVERAGEIFS('PM Protocol'!$E47:$Z47,'PM Protocol'!$E$9:$Z$9,"="&amp;Composites!I$8,'PM Protocol'!$E$10:$Z$10,"="&amp;Composites!I$9)</f>
        <v>0</v>
      </c>
      <c r="J46" s="284">
        <f t="shared" si="6"/>
        <v>0</v>
      </c>
      <c r="K46" s="284">
        <f t="shared" si="7"/>
        <v>0</v>
      </c>
      <c r="L46" s="284">
        <f t="shared" si="8"/>
        <v>0</v>
      </c>
      <c r="M46" s="284">
        <f t="shared" si="9"/>
        <v>0</v>
      </c>
      <c r="N46" s="284">
        <f t="shared" si="10"/>
        <v>0</v>
      </c>
      <c r="O46" s="286">
        <f t="shared" si="11"/>
        <v>0</v>
      </c>
    </row>
    <row r="47" spans="1:15">
      <c r="A47" s="263">
        <v>3341</v>
      </c>
      <c r="B47" s="294" t="str">
        <f>VLOOKUP(A47,'PM Protocol'!$A$12:$B$104,2,FALSE)</f>
        <v>n/a</v>
      </c>
      <c r="C47" s="264" t="s">
        <v>706</v>
      </c>
      <c r="D47" s="282">
        <f>AVERAGEIFS('PM Protocol'!$E48:$Z48,'PM Protocol'!$E$9:$Z$9,"="&amp;Composites!D$8,'PM Protocol'!$E$10:$Z$10,"="&amp;Composites!D$9)</f>
        <v>0</v>
      </c>
      <c r="E47" s="284">
        <f>AVERAGEIFS('PM Protocol'!$E48:$Z48,'PM Protocol'!$E$9:$Z$9,"="&amp;Composites!E$8,'PM Protocol'!$E$10:$Z$10,"="&amp;Composites!E$9)</f>
        <v>0</v>
      </c>
      <c r="F47" s="284">
        <f>AVERAGEIFS('PM Protocol'!$E48:$Z48,'PM Protocol'!$E$9:$Z$9,"="&amp;Composites!F$8,'PM Protocol'!$E$10:$Z$10,"="&amp;Composites!F$9)</f>
        <v>0</v>
      </c>
      <c r="G47" s="284">
        <f>AVERAGEIFS('PM Protocol'!$E48:$Z48,'PM Protocol'!$E$9:$Z$9,"="&amp;Composites!G$8,'PM Protocol'!$E$10:$Z$10,"="&amp;Composites!G$9)</f>
        <v>0</v>
      </c>
      <c r="H47" s="284">
        <f>AVERAGEIFS('PM Protocol'!$E48:$Z48,'PM Protocol'!$E$9:$Z$9,"="&amp;Composites!H$8,'PM Protocol'!$E$10:$Z$10,"="&amp;Composites!H$9)</f>
        <v>0</v>
      </c>
      <c r="I47" s="284">
        <f>AVERAGEIFS('PM Protocol'!$E48:$Z48,'PM Protocol'!$E$9:$Z$9,"="&amp;Composites!I$8,'PM Protocol'!$E$10:$Z$10,"="&amp;Composites!I$9)</f>
        <v>0</v>
      </c>
      <c r="J47" s="284">
        <f t="shared" si="6"/>
        <v>0</v>
      </c>
      <c r="K47" s="284">
        <f t="shared" si="7"/>
        <v>0</v>
      </c>
      <c r="L47" s="284">
        <f t="shared" si="8"/>
        <v>0</v>
      </c>
      <c r="M47" s="284">
        <f t="shared" si="9"/>
        <v>0</v>
      </c>
      <c r="N47" s="284">
        <f t="shared" si="10"/>
        <v>0</v>
      </c>
      <c r="O47" s="286">
        <f t="shared" si="11"/>
        <v>0</v>
      </c>
    </row>
    <row r="48" spans="1:15">
      <c r="A48" s="263">
        <v>3342</v>
      </c>
      <c r="B48" s="294" t="str">
        <f>VLOOKUP(A48,'PM Protocol'!$A$12:$B$104,2,FALSE)</f>
        <v>n/a</v>
      </c>
      <c r="C48" s="264" t="s">
        <v>707</v>
      </c>
      <c r="D48" s="282">
        <f>AVERAGEIFS('PM Protocol'!$E49:$Z49,'PM Protocol'!$E$9:$Z$9,"="&amp;Composites!D$8,'PM Protocol'!$E$10:$Z$10,"="&amp;Composites!D$9)</f>
        <v>0</v>
      </c>
      <c r="E48" s="284">
        <f>AVERAGEIFS('PM Protocol'!$E49:$Z49,'PM Protocol'!$E$9:$Z$9,"="&amp;Composites!E$8,'PM Protocol'!$E$10:$Z$10,"="&amp;Composites!E$9)</f>
        <v>0</v>
      </c>
      <c r="F48" s="284">
        <f>AVERAGEIFS('PM Protocol'!$E49:$Z49,'PM Protocol'!$E$9:$Z$9,"="&amp;Composites!F$8,'PM Protocol'!$E$10:$Z$10,"="&amp;Composites!F$9)</f>
        <v>0</v>
      </c>
      <c r="G48" s="284">
        <f>AVERAGEIFS('PM Protocol'!$E49:$Z49,'PM Protocol'!$E$9:$Z$9,"="&amp;Composites!G$8,'PM Protocol'!$E$10:$Z$10,"="&amp;Composites!G$9)</f>
        <v>0</v>
      </c>
      <c r="H48" s="284">
        <f>AVERAGEIFS('PM Protocol'!$E49:$Z49,'PM Protocol'!$E$9:$Z$9,"="&amp;Composites!H$8,'PM Protocol'!$E$10:$Z$10,"="&amp;Composites!H$9)</f>
        <v>0</v>
      </c>
      <c r="I48" s="284">
        <f>AVERAGEIFS('PM Protocol'!$E49:$Z49,'PM Protocol'!$E$9:$Z$9,"="&amp;Composites!I$8,'PM Protocol'!$E$10:$Z$10,"="&amp;Composites!I$9)</f>
        <v>0</v>
      </c>
      <c r="J48" s="284">
        <f t="shared" si="6"/>
        <v>0</v>
      </c>
      <c r="K48" s="284">
        <f t="shared" si="7"/>
        <v>0</v>
      </c>
      <c r="L48" s="284">
        <f t="shared" si="8"/>
        <v>0</v>
      </c>
      <c r="M48" s="284">
        <f t="shared" si="9"/>
        <v>0</v>
      </c>
      <c r="N48" s="284">
        <f t="shared" si="10"/>
        <v>0</v>
      </c>
      <c r="O48" s="286">
        <f t="shared" si="11"/>
        <v>0</v>
      </c>
    </row>
    <row r="49" spans="1:15">
      <c r="A49" s="263">
        <v>3343</v>
      </c>
      <c r="B49" s="294" t="str">
        <f>VLOOKUP(A49,'PM Protocol'!$A$12:$B$104,2,FALSE)</f>
        <v>n/a</v>
      </c>
      <c r="C49" s="264" t="s">
        <v>708</v>
      </c>
      <c r="D49" s="282">
        <f>AVERAGEIFS('PM Protocol'!$E50:$Z50,'PM Protocol'!$E$9:$Z$9,"="&amp;Composites!D$8,'PM Protocol'!$E$10:$Z$10,"="&amp;Composites!D$9)</f>
        <v>0</v>
      </c>
      <c r="E49" s="284">
        <f>AVERAGEIFS('PM Protocol'!$E50:$Z50,'PM Protocol'!$E$9:$Z$9,"="&amp;Composites!E$8,'PM Protocol'!$E$10:$Z$10,"="&amp;Composites!E$9)</f>
        <v>0</v>
      </c>
      <c r="F49" s="284">
        <f>AVERAGEIFS('PM Protocol'!$E50:$Z50,'PM Protocol'!$E$9:$Z$9,"="&amp;Composites!F$8,'PM Protocol'!$E$10:$Z$10,"="&amp;Composites!F$9)</f>
        <v>0</v>
      </c>
      <c r="G49" s="284">
        <f>AVERAGEIFS('PM Protocol'!$E50:$Z50,'PM Protocol'!$E$9:$Z$9,"="&amp;Composites!G$8,'PM Protocol'!$E$10:$Z$10,"="&amp;Composites!G$9)</f>
        <v>0</v>
      </c>
      <c r="H49" s="284">
        <f>AVERAGEIFS('PM Protocol'!$E50:$Z50,'PM Protocol'!$E$9:$Z$9,"="&amp;Composites!H$8,'PM Protocol'!$E$10:$Z$10,"="&amp;Composites!H$9)</f>
        <v>0</v>
      </c>
      <c r="I49" s="284">
        <f>AVERAGEIFS('PM Protocol'!$E50:$Z50,'PM Protocol'!$E$9:$Z$9,"="&amp;Composites!I$8,'PM Protocol'!$E$10:$Z$10,"="&amp;Composites!I$9)</f>
        <v>0</v>
      </c>
      <c r="J49" s="284">
        <f t="shared" si="6"/>
        <v>0</v>
      </c>
      <c r="K49" s="284">
        <f t="shared" si="7"/>
        <v>0</v>
      </c>
      <c r="L49" s="284">
        <f t="shared" si="8"/>
        <v>0</v>
      </c>
      <c r="M49" s="284">
        <f t="shared" si="9"/>
        <v>0</v>
      </c>
      <c r="N49" s="284">
        <f t="shared" si="10"/>
        <v>0</v>
      </c>
      <c r="O49" s="286">
        <f t="shared" si="11"/>
        <v>0</v>
      </c>
    </row>
    <row r="50" spans="1:15">
      <c r="A50" s="263">
        <v>3344</v>
      </c>
      <c r="B50" s="294" t="str">
        <f>VLOOKUP(A50,'PM Protocol'!$A$12:$B$104,2,FALSE)</f>
        <v>n/a</v>
      </c>
      <c r="C50" s="264" t="s">
        <v>709</v>
      </c>
      <c r="D50" s="282">
        <f>AVERAGEIFS('PM Protocol'!$E51:$Z51,'PM Protocol'!$E$9:$Z$9,"="&amp;Composites!D$8,'PM Protocol'!$E$10:$Z$10,"="&amp;Composites!D$9)</f>
        <v>0</v>
      </c>
      <c r="E50" s="284">
        <f>AVERAGEIFS('PM Protocol'!$E51:$Z51,'PM Protocol'!$E$9:$Z$9,"="&amp;Composites!E$8,'PM Protocol'!$E$10:$Z$10,"="&amp;Composites!E$9)</f>
        <v>0</v>
      </c>
      <c r="F50" s="284">
        <f>AVERAGEIFS('PM Protocol'!$E51:$Z51,'PM Protocol'!$E$9:$Z$9,"="&amp;Composites!F$8,'PM Protocol'!$E$10:$Z$10,"="&amp;Composites!F$9)</f>
        <v>0</v>
      </c>
      <c r="G50" s="284">
        <f>AVERAGEIFS('PM Protocol'!$E51:$Z51,'PM Protocol'!$E$9:$Z$9,"="&amp;Composites!G$8,'PM Protocol'!$E$10:$Z$10,"="&amp;Composites!G$9)</f>
        <v>0</v>
      </c>
      <c r="H50" s="284">
        <f>AVERAGEIFS('PM Protocol'!$E51:$Z51,'PM Protocol'!$E$9:$Z$9,"="&amp;Composites!H$8,'PM Protocol'!$E$10:$Z$10,"="&amp;Composites!H$9)</f>
        <v>0</v>
      </c>
      <c r="I50" s="284">
        <f>AVERAGEIFS('PM Protocol'!$E51:$Z51,'PM Protocol'!$E$9:$Z$9,"="&amp;Composites!I$8,'PM Protocol'!$E$10:$Z$10,"="&amp;Composites!I$9)</f>
        <v>0</v>
      </c>
      <c r="J50" s="284">
        <f t="shared" si="6"/>
        <v>0</v>
      </c>
      <c r="K50" s="284">
        <f t="shared" si="7"/>
        <v>0</v>
      </c>
      <c r="L50" s="284">
        <f t="shared" si="8"/>
        <v>0</v>
      </c>
      <c r="M50" s="284">
        <f t="shared" si="9"/>
        <v>0</v>
      </c>
      <c r="N50" s="284">
        <f t="shared" si="10"/>
        <v>0</v>
      </c>
      <c r="O50" s="286">
        <f t="shared" si="11"/>
        <v>0</v>
      </c>
    </row>
    <row r="51" spans="1:15">
      <c r="A51" s="263">
        <v>3345</v>
      </c>
      <c r="B51" s="294" t="str">
        <f>VLOOKUP(A51,'PM Protocol'!$A$12:$B$104,2,FALSE)</f>
        <v>n/a</v>
      </c>
      <c r="C51" s="264" t="s">
        <v>710</v>
      </c>
      <c r="D51" s="282">
        <f>AVERAGEIFS('PM Protocol'!$E52:$Z52,'PM Protocol'!$E$9:$Z$9,"="&amp;Composites!D$8,'PM Protocol'!$E$10:$Z$10,"="&amp;Composites!D$9)</f>
        <v>0</v>
      </c>
      <c r="E51" s="284">
        <f>AVERAGEIFS('PM Protocol'!$E52:$Z52,'PM Protocol'!$E$9:$Z$9,"="&amp;Composites!E$8,'PM Protocol'!$E$10:$Z$10,"="&amp;Composites!E$9)</f>
        <v>0</v>
      </c>
      <c r="F51" s="284">
        <f>AVERAGEIFS('PM Protocol'!$E52:$Z52,'PM Protocol'!$E$9:$Z$9,"="&amp;Composites!F$8,'PM Protocol'!$E$10:$Z$10,"="&amp;Composites!F$9)</f>
        <v>0</v>
      </c>
      <c r="G51" s="284">
        <f>AVERAGEIFS('PM Protocol'!$E52:$Z52,'PM Protocol'!$E$9:$Z$9,"="&amp;Composites!G$8,'PM Protocol'!$E$10:$Z$10,"="&amp;Composites!G$9)</f>
        <v>0</v>
      </c>
      <c r="H51" s="284">
        <f>AVERAGEIFS('PM Protocol'!$E52:$Z52,'PM Protocol'!$E$9:$Z$9,"="&amp;Composites!H$8,'PM Protocol'!$E$10:$Z$10,"="&amp;Composites!H$9)</f>
        <v>0</v>
      </c>
      <c r="I51" s="284">
        <f>AVERAGEIFS('PM Protocol'!$E52:$Z52,'PM Protocol'!$E$9:$Z$9,"="&amp;Composites!I$8,'PM Protocol'!$E$10:$Z$10,"="&amp;Composites!I$9)</f>
        <v>0</v>
      </c>
      <c r="J51" s="284">
        <f t="shared" si="6"/>
        <v>0</v>
      </c>
      <c r="K51" s="284">
        <f t="shared" si="7"/>
        <v>0</v>
      </c>
      <c r="L51" s="284">
        <f t="shared" si="8"/>
        <v>0</v>
      </c>
      <c r="M51" s="284">
        <f t="shared" si="9"/>
        <v>0</v>
      </c>
      <c r="N51" s="284">
        <f t="shared" si="10"/>
        <v>0</v>
      </c>
      <c r="O51" s="286">
        <f t="shared" si="11"/>
        <v>0</v>
      </c>
    </row>
    <row r="52" spans="1:15">
      <c r="A52" s="263">
        <v>3350</v>
      </c>
      <c r="B52" s="294" t="str">
        <f>VLOOKUP(A52,'PM Protocol'!$A$12:$B$104,2,FALSE)</f>
        <v>n/a</v>
      </c>
      <c r="C52" s="264" t="s">
        <v>711</v>
      </c>
      <c r="D52" s="282">
        <f>AVERAGEIFS('PM Protocol'!$E53:$Z53,'PM Protocol'!$E$9:$Z$9,"="&amp;Composites!D$8,'PM Protocol'!$E$10:$Z$10,"="&amp;Composites!D$9)</f>
        <v>0</v>
      </c>
      <c r="E52" s="284">
        <f>AVERAGEIFS('PM Protocol'!$E53:$Z53,'PM Protocol'!$E$9:$Z$9,"="&amp;Composites!E$8,'PM Protocol'!$E$10:$Z$10,"="&amp;Composites!E$9)</f>
        <v>0</v>
      </c>
      <c r="F52" s="284">
        <f>AVERAGEIFS('PM Protocol'!$E53:$Z53,'PM Protocol'!$E$9:$Z$9,"="&amp;Composites!F$8,'PM Protocol'!$E$10:$Z$10,"="&amp;Composites!F$9)</f>
        <v>0</v>
      </c>
      <c r="G52" s="284">
        <f>AVERAGEIFS('PM Protocol'!$E53:$Z53,'PM Protocol'!$E$9:$Z$9,"="&amp;Composites!G$8,'PM Protocol'!$E$10:$Z$10,"="&amp;Composites!G$9)</f>
        <v>0</v>
      </c>
      <c r="H52" s="284">
        <f>AVERAGEIFS('PM Protocol'!$E53:$Z53,'PM Protocol'!$E$9:$Z$9,"="&amp;Composites!H$8,'PM Protocol'!$E$10:$Z$10,"="&amp;Composites!H$9)</f>
        <v>0</v>
      </c>
      <c r="I52" s="284">
        <f>AVERAGEIFS('PM Protocol'!$E53:$Z53,'PM Protocol'!$E$9:$Z$9,"="&amp;Composites!I$8,'PM Protocol'!$E$10:$Z$10,"="&amp;Composites!I$9)</f>
        <v>0</v>
      </c>
      <c r="J52" s="284">
        <f t="shared" si="6"/>
        <v>0</v>
      </c>
      <c r="K52" s="284">
        <f t="shared" si="7"/>
        <v>0</v>
      </c>
      <c r="L52" s="284">
        <f t="shared" si="8"/>
        <v>0</v>
      </c>
      <c r="M52" s="284">
        <f t="shared" si="9"/>
        <v>0</v>
      </c>
      <c r="N52" s="284">
        <f t="shared" si="10"/>
        <v>0</v>
      </c>
      <c r="O52" s="286">
        <f t="shared" si="11"/>
        <v>0</v>
      </c>
    </row>
    <row r="53" spans="1:15">
      <c r="A53" s="263">
        <v>3351</v>
      </c>
      <c r="B53" s="294" t="str">
        <f>VLOOKUP(A53,'PM Protocol'!$A$12:$B$104,2,FALSE)</f>
        <v>n/a</v>
      </c>
      <c r="C53" s="264" t="s">
        <v>712</v>
      </c>
      <c r="D53" s="282">
        <f>AVERAGEIFS('PM Protocol'!$E54:$Z54,'PM Protocol'!$E$9:$Z$9,"="&amp;Composites!D$8,'PM Protocol'!$E$10:$Z$10,"="&amp;Composites!D$9)</f>
        <v>0</v>
      </c>
      <c r="E53" s="284">
        <f>AVERAGEIFS('PM Protocol'!$E54:$Z54,'PM Protocol'!$E$9:$Z$9,"="&amp;Composites!E$8,'PM Protocol'!$E$10:$Z$10,"="&amp;Composites!E$9)</f>
        <v>0</v>
      </c>
      <c r="F53" s="284">
        <f>AVERAGEIFS('PM Protocol'!$E54:$Z54,'PM Protocol'!$E$9:$Z$9,"="&amp;Composites!F$8,'PM Protocol'!$E$10:$Z$10,"="&amp;Composites!F$9)</f>
        <v>0</v>
      </c>
      <c r="G53" s="284">
        <f>AVERAGEIFS('PM Protocol'!$E54:$Z54,'PM Protocol'!$E$9:$Z$9,"="&amp;Composites!G$8,'PM Protocol'!$E$10:$Z$10,"="&amp;Composites!G$9)</f>
        <v>0</v>
      </c>
      <c r="H53" s="284">
        <f>AVERAGEIFS('PM Protocol'!$E54:$Z54,'PM Protocol'!$E$9:$Z$9,"="&amp;Composites!H$8,'PM Protocol'!$E$10:$Z$10,"="&amp;Composites!H$9)</f>
        <v>0</v>
      </c>
      <c r="I53" s="284">
        <f>AVERAGEIFS('PM Protocol'!$E54:$Z54,'PM Protocol'!$E$9:$Z$9,"="&amp;Composites!I$8,'PM Protocol'!$E$10:$Z$10,"="&amp;Composites!I$9)</f>
        <v>0</v>
      </c>
      <c r="J53" s="284">
        <f t="shared" si="6"/>
        <v>0</v>
      </c>
      <c r="K53" s="284">
        <f t="shared" si="7"/>
        <v>0</v>
      </c>
      <c r="L53" s="284">
        <f t="shared" si="8"/>
        <v>0</v>
      </c>
      <c r="M53" s="284">
        <f t="shared" si="9"/>
        <v>0</v>
      </c>
      <c r="N53" s="284">
        <f t="shared" si="10"/>
        <v>0</v>
      </c>
      <c r="O53" s="286">
        <f t="shared" si="11"/>
        <v>0</v>
      </c>
    </row>
    <row r="54" spans="1:15">
      <c r="A54" s="263">
        <v>3352</v>
      </c>
      <c r="B54" s="294" t="str">
        <f>VLOOKUP(A54,'PM Protocol'!$A$12:$B$104,2,FALSE)</f>
        <v>n/a</v>
      </c>
      <c r="C54" s="264" t="s">
        <v>713</v>
      </c>
      <c r="D54" s="282">
        <f>AVERAGEIFS('PM Protocol'!$E55:$Z55,'PM Protocol'!$E$9:$Z$9,"="&amp;Composites!D$8,'PM Protocol'!$E$10:$Z$10,"="&amp;Composites!D$9)</f>
        <v>0</v>
      </c>
      <c r="E54" s="284">
        <f>AVERAGEIFS('PM Protocol'!$E55:$Z55,'PM Protocol'!$E$9:$Z$9,"="&amp;Composites!E$8,'PM Protocol'!$E$10:$Z$10,"="&amp;Composites!E$9)</f>
        <v>0</v>
      </c>
      <c r="F54" s="284">
        <f>AVERAGEIFS('PM Protocol'!$E55:$Z55,'PM Protocol'!$E$9:$Z$9,"="&amp;Composites!F$8,'PM Protocol'!$E$10:$Z$10,"="&amp;Composites!F$9)</f>
        <v>0</v>
      </c>
      <c r="G54" s="284">
        <f>AVERAGEIFS('PM Protocol'!$E55:$Z55,'PM Protocol'!$E$9:$Z$9,"="&amp;Composites!G$8,'PM Protocol'!$E$10:$Z$10,"="&amp;Composites!G$9)</f>
        <v>0</v>
      </c>
      <c r="H54" s="284">
        <f>AVERAGEIFS('PM Protocol'!$E55:$Z55,'PM Protocol'!$E$9:$Z$9,"="&amp;Composites!H$8,'PM Protocol'!$E$10:$Z$10,"="&amp;Composites!H$9)</f>
        <v>0</v>
      </c>
      <c r="I54" s="284">
        <f>AVERAGEIFS('PM Protocol'!$E55:$Z55,'PM Protocol'!$E$9:$Z$9,"="&amp;Composites!I$8,'PM Protocol'!$E$10:$Z$10,"="&amp;Composites!I$9)</f>
        <v>0</v>
      </c>
      <c r="J54" s="284">
        <f t="shared" si="6"/>
        <v>0</v>
      </c>
      <c r="K54" s="284">
        <f t="shared" si="7"/>
        <v>0</v>
      </c>
      <c r="L54" s="284">
        <f t="shared" si="8"/>
        <v>0</v>
      </c>
      <c r="M54" s="284">
        <f t="shared" si="9"/>
        <v>0</v>
      </c>
      <c r="N54" s="284">
        <f t="shared" si="10"/>
        <v>0</v>
      </c>
      <c r="O54" s="286">
        <f t="shared" si="11"/>
        <v>0</v>
      </c>
    </row>
    <row r="55" spans="1:15">
      <c r="A55" s="263">
        <v>3353</v>
      </c>
      <c r="B55" s="294" t="str">
        <f>VLOOKUP(A55,'PM Protocol'!$A$12:$B$104,2,FALSE)</f>
        <v>n/a</v>
      </c>
      <c r="C55" s="264" t="s">
        <v>714</v>
      </c>
      <c r="D55" s="282">
        <f>AVERAGEIFS('PM Protocol'!$E56:$Z56,'PM Protocol'!$E$9:$Z$9,"="&amp;Composites!D$8,'PM Protocol'!$E$10:$Z$10,"="&amp;Composites!D$9)</f>
        <v>0</v>
      </c>
      <c r="E55" s="284">
        <f>AVERAGEIFS('PM Protocol'!$E56:$Z56,'PM Protocol'!$E$9:$Z$9,"="&amp;Composites!E$8,'PM Protocol'!$E$10:$Z$10,"="&amp;Composites!E$9)</f>
        <v>0</v>
      </c>
      <c r="F55" s="284">
        <f>AVERAGEIFS('PM Protocol'!$E56:$Z56,'PM Protocol'!$E$9:$Z$9,"="&amp;Composites!F$8,'PM Protocol'!$E$10:$Z$10,"="&amp;Composites!F$9)</f>
        <v>0</v>
      </c>
      <c r="G55" s="284">
        <f>AVERAGEIFS('PM Protocol'!$E56:$Z56,'PM Protocol'!$E$9:$Z$9,"="&amp;Composites!G$8,'PM Protocol'!$E$10:$Z$10,"="&amp;Composites!G$9)</f>
        <v>0</v>
      </c>
      <c r="H55" s="284">
        <f>AVERAGEIFS('PM Protocol'!$E56:$Z56,'PM Protocol'!$E$9:$Z$9,"="&amp;Composites!H$8,'PM Protocol'!$E$10:$Z$10,"="&amp;Composites!H$9)</f>
        <v>0</v>
      </c>
      <c r="I55" s="284">
        <f>AVERAGEIFS('PM Protocol'!$E56:$Z56,'PM Protocol'!$E$9:$Z$9,"="&amp;Composites!I$8,'PM Protocol'!$E$10:$Z$10,"="&amp;Composites!I$9)</f>
        <v>0</v>
      </c>
      <c r="J55" s="284">
        <f t="shared" si="6"/>
        <v>0</v>
      </c>
      <c r="K55" s="284">
        <f t="shared" si="7"/>
        <v>0</v>
      </c>
      <c r="L55" s="284">
        <f t="shared" si="8"/>
        <v>0</v>
      </c>
      <c r="M55" s="284">
        <f t="shared" si="9"/>
        <v>0</v>
      </c>
      <c r="N55" s="284">
        <f t="shared" si="10"/>
        <v>0</v>
      </c>
      <c r="O55" s="286">
        <f t="shared" si="11"/>
        <v>0</v>
      </c>
    </row>
    <row r="56" spans="1:15">
      <c r="A56" s="263">
        <v>3354</v>
      </c>
      <c r="B56" s="294" t="str">
        <f>VLOOKUP(A56,'PM Protocol'!$A$12:$B$104,2,FALSE)</f>
        <v>n/a</v>
      </c>
      <c r="C56" s="264" t="s">
        <v>715</v>
      </c>
      <c r="D56" s="282">
        <f>AVERAGEIFS('PM Protocol'!$E57:$Z57,'PM Protocol'!$E$9:$Z$9,"="&amp;Composites!D$8,'PM Protocol'!$E$10:$Z$10,"="&amp;Composites!D$9)</f>
        <v>0</v>
      </c>
      <c r="E56" s="284">
        <f>AVERAGEIFS('PM Protocol'!$E57:$Z57,'PM Protocol'!$E$9:$Z$9,"="&amp;Composites!E$8,'PM Protocol'!$E$10:$Z$10,"="&amp;Composites!E$9)</f>
        <v>0</v>
      </c>
      <c r="F56" s="284">
        <f>AVERAGEIFS('PM Protocol'!$E57:$Z57,'PM Protocol'!$E$9:$Z$9,"="&amp;Composites!F$8,'PM Protocol'!$E$10:$Z$10,"="&amp;Composites!F$9)</f>
        <v>0</v>
      </c>
      <c r="G56" s="284">
        <f>AVERAGEIFS('PM Protocol'!$E57:$Z57,'PM Protocol'!$E$9:$Z$9,"="&amp;Composites!G$8,'PM Protocol'!$E$10:$Z$10,"="&amp;Composites!G$9)</f>
        <v>0</v>
      </c>
      <c r="H56" s="284">
        <f>AVERAGEIFS('PM Protocol'!$E57:$Z57,'PM Protocol'!$E$9:$Z$9,"="&amp;Composites!H$8,'PM Protocol'!$E$10:$Z$10,"="&amp;Composites!H$9)</f>
        <v>0</v>
      </c>
      <c r="I56" s="284">
        <f>AVERAGEIFS('PM Protocol'!$E57:$Z57,'PM Protocol'!$E$9:$Z$9,"="&amp;Composites!I$8,'PM Protocol'!$E$10:$Z$10,"="&amp;Composites!I$9)</f>
        <v>0</v>
      </c>
      <c r="J56" s="284">
        <f t="shared" si="6"/>
        <v>0</v>
      </c>
      <c r="K56" s="284">
        <f t="shared" si="7"/>
        <v>0</v>
      </c>
      <c r="L56" s="284">
        <f t="shared" si="8"/>
        <v>0</v>
      </c>
      <c r="M56" s="284">
        <f t="shared" si="9"/>
        <v>0</v>
      </c>
      <c r="N56" s="284">
        <f t="shared" si="10"/>
        <v>0</v>
      </c>
      <c r="O56" s="286">
        <f t="shared" si="11"/>
        <v>0</v>
      </c>
    </row>
    <row r="57" spans="1:15">
      <c r="A57" s="263">
        <v>3361</v>
      </c>
      <c r="B57" s="294" t="str">
        <f>VLOOKUP(A57,'PM Protocol'!$A$12:$B$104,2,FALSE)</f>
        <v>n/a</v>
      </c>
      <c r="C57" s="264" t="s">
        <v>716</v>
      </c>
      <c r="D57" s="282">
        <f>AVERAGEIFS('PM Protocol'!$E58:$Z58,'PM Protocol'!$E$9:$Z$9,"="&amp;Composites!D$8,'PM Protocol'!$E$10:$Z$10,"="&amp;Composites!D$9)</f>
        <v>0</v>
      </c>
      <c r="E57" s="284">
        <f>AVERAGEIFS('PM Protocol'!$E58:$Z58,'PM Protocol'!$E$9:$Z$9,"="&amp;Composites!E$8,'PM Protocol'!$E$10:$Z$10,"="&amp;Composites!E$9)</f>
        <v>0</v>
      </c>
      <c r="F57" s="284">
        <f>AVERAGEIFS('PM Protocol'!$E58:$Z58,'PM Protocol'!$E$9:$Z$9,"="&amp;Composites!F$8,'PM Protocol'!$E$10:$Z$10,"="&amp;Composites!F$9)</f>
        <v>0</v>
      </c>
      <c r="G57" s="284">
        <f>AVERAGEIFS('PM Protocol'!$E58:$Z58,'PM Protocol'!$E$9:$Z$9,"="&amp;Composites!G$8,'PM Protocol'!$E$10:$Z$10,"="&amp;Composites!G$9)</f>
        <v>0</v>
      </c>
      <c r="H57" s="284">
        <f>AVERAGEIFS('PM Protocol'!$E58:$Z58,'PM Protocol'!$E$9:$Z$9,"="&amp;Composites!H$8,'PM Protocol'!$E$10:$Z$10,"="&amp;Composites!H$9)</f>
        <v>0</v>
      </c>
      <c r="I57" s="284">
        <f>AVERAGEIFS('PM Protocol'!$E58:$Z58,'PM Protocol'!$E$9:$Z$9,"="&amp;Composites!I$8,'PM Protocol'!$E$10:$Z$10,"="&amp;Composites!I$9)</f>
        <v>0</v>
      </c>
      <c r="J57" s="284">
        <f t="shared" si="6"/>
        <v>0</v>
      </c>
      <c r="K57" s="284">
        <f t="shared" si="7"/>
        <v>0</v>
      </c>
      <c r="L57" s="284">
        <f t="shared" si="8"/>
        <v>0</v>
      </c>
      <c r="M57" s="284">
        <f t="shared" si="9"/>
        <v>0</v>
      </c>
      <c r="N57" s="284">
        <f t="shared" si="10"/>
        <v>0</v>
      </c>
      <c r="O57" s="286">
        <f t="shared" si="11"/>
        <v>0</v>
      </c>
    </row>
    <row r="58" spans="1:15">
      <c r="A58" s="263">
        <v>3362</v>
      </c>
      <c r="B58" s="294" t="str">
        <f>VLOOKUP(A58,'PM Protocol'!$A$12:$B$104,2,FALSE)</f>
        <v>n/a</v>
      </c>
      <c r="C58" s="264" t="s">
        <v>717</v>
      </c>
      <c r="D58" s="282">
        <f>AVERAGEIFS('PM Protocol'!$E59:$Z59,'PM Protocol'!$E$9:$Z$9,"="&amp;Composites!D$8,'PM Protocol'!$E$10:$Z$10,"="&amp;Composites!D$9)</f>
        <v>0</v>
      </c>
      <c r="E58" s="284">
        <f>AVERAGEIFS('PM Protocol'!$E59:$Z59,'PM Protocol'!$E$9:$Z$9,"="&amp;Composites!E$8,'PM Protocol'!$E$10:$Z$10,"="&amp;Composites!E$9)</f>
        <v>0</v>
      </c>
      <c r="F58" s="284">
        <f>AVERAGEIFS('PM Protocol'!$E59:$Z59,'PM Protocol'!$E$9:$Z$9,"="&amp;Composites!F$8,'PM Protocol'!$E$10:$Z$10,"="&amp;Composites!F$9)</f>
        <v>0</v>
      </c>
      <c r="G58" s="284">
        <f>AVERAGEIFS('PM Protocol'!$E59:$Z59,'PM Protocol'!$E$9:$Z$9,"="&amp;Composites!G$8,'PM Protocol'!$E$10:$Z$10,"="&amp;Composites!G$9)</f>
        <v>0</v>
      </c>
      <c r="H58" s="284">
        <f>AVERAGEIFS('PM Protocol'!$E59:$Z59,'PM Protocol'!$E$9:$Z$9,"="&amp;Composites!H$8,'PM Protocol'!$E$10:$Z$10,"="&amp;Composites!H$9)</f>
        <v>0</v>
      </c>
      <c r="I58" s="284">
        <f>AVERAGEIFS('PM Protocol'!$E59:$Z59,'PM Protocol'!$E$9:$Z$9,"="&amp;Composites!I$8,'PM Protocol'!$E$10:$Z$10,"="&amp;Composites!I$9)</f>
        <v>0</v>
      </c>
      <c r="J58" s="284">
        <f t="shared" si="6"/>
        <v>0</v>
      </c>
      <c r="K58" s="284">
        <f t="shared" si="7"/>
        <v>0</v>
      </c>
      <c r="L58" s="284">
        <f t="shared" si="8"/>
        <v>0</v>
      </c>
      <c r="M58" s="284">
        <f t="shared" si="9"/>
        <v>0</v>
      </c>
      <c r="N58" s="284">
        <f t="shared" si="10"/>
        <v>0</v>
      </c>
      <c r="O58" s="286">
        <f t="shared" si="11"/>
        <v>0</v>
      </c>
    </row>
    <row r="59" spans="1:15">
      <c r="A59" s="263">
        <v>3363</v>
      </c>
      <c r="B59" s="294" t="str">
        <f>VLOOKUP(A59,'PM Protocol'!$A$12:$B$104,2,FALSE)</f>
        <v>n/a</v>
      </c>
      <c r="C59" s="264" t="s">
        <v>718</v>
      </c>
      <c r="D59" s="282">
        <f>AVERAGEIFS('PM Protocol'!$E60:$Z60,'PM Protocol'!$E$9:$Z$9,"="&amp;Composites!D$8,'PM Protocol'!$E$10:$Z$10,"="&amp;Composites!D$9)</f>
        <v>0</v>
      </c>
      <c r="E59" s="284">
        <f>AVERAGEIFS('PM Protocol'!$E60:$Z60,'PM Protocol'!$E$9:$Z$9,"="&amp;Composites!E$8,'PM Protocol'!$E$10:$Z$10,"="&amp;Composites!E$9)</f>
        <v>0</v>
      </c>
      <c r="F59" s="284">
        <f>AVERAGEIFS('PM Protocol'!$E60:$Z60,'PM Protocol'!$E$9:$Z$9,"="&amp;Composites!F$8,'PM Protocol'!$E$10:$Z$10,"="&amp;Composites!F$9)</f>
        <v>0</v>
      </c>
      <c r="G59" s="284">
        <f>AVERAGEIFS('PM Protocol'!$E60:$Z60,'PM Protocol'!$E$9:$Z$9,"="&amp;Composites!G$8,'PM Protocol'!$E$10:$Z$10,"="&amp;Composites!G$9)</f>
        <v>0</v>
      </c>
      <c r="H59" s="284">
        <f>AVERAGEIFS('PM Protocol'!$E60:$Z60,'PM Protocol'!$E$9:$Z$9,"="&amp;Composites!H$8,'PM Protocol'!$E$10:$Z$10,"="&amp;Composites!H$9)</f>
        <v>0</v>
      </c>
      <c r="I59" s="284">
        <f>AVERAGEIFS('PM Protocol'!$E60:$Z60,'PM Protocol'!$E$9:$Z$9,"="&amp;Composites!I$8,'PM Protocol'!$E$10:$Z$10,"="&amp;Composites!I$9)</f>
        <v>0</v>
      </c>
      <c r="J59" s="284">
        <f t="shared" si="6"/>
        <v>0</v>
      </c>
      <c r="K59" s="284">
        <f t="shared" si="7"/>
        <v>0</v>
      </c>
      <c r="L59" s="284">
        <f t="shared" si="8"/>
        <v>0</v>
      </c>
      <c r="M59" s="284">
        <f t="shared" si="9"/>
        <v>0</v>
      </c>
      <c r="N59" s="284">
        <f t="shared" si="10"/>
        <v>0</v>
      </c>
      <c r="O59" s="286">
        <f t="shared" si="11"/>
        <v>0</v>
      </c>
    </row>
    <row r="60" spans="1:15">
      <c r="A60" s="263">
        <v>3364</v>
      </c>
      <c r="B60" s="294" t="str">
        <f>VLOOKUP(A60,'PM Protocol'!$A$12:$B$104,2,FALSE)</f>
        <v>n/a</v>
      </c>
      <c r="C60" s="264" t="s">
        <v>719</v>
      </c>
      <c r="D60" s="282">
        <f>AVERAGEIFS('PM Protocol'!$E61:$Z61,'PM Protocol'!$E$9:$Z$9,"="&amp;Composites!D$8,'PM Protocol'!$E$10:$Z$10,"="&amp;Composites!D$9)</f>
        <v>0</v>
      </c>
      <c r="E60" s="284">
        <f>AVERAGEIFS('PM Protocol'!$E61:$Z61,'PM Protocol'!$E$9:$Z$9,"="&amp;Composites!E$8,'PM Protocol'!$E$10:$Z$10,"="&amp;Composites!E$9)</f>
        <v>0</v>
      </c>
      <c r="F60" s="284">
        <f>AVERAGEIFS('PM Protocol'!$E61:$Z61,'PM Protocol'!$E$9:$Z$9,"="&amp;Composites!F$8,'PM Protocol'!$E$10:$Z$10,"="&amp;Composites!F$9)</f>
        <v>0</v>
      </c>
      <c r="G60" s="284">
        <f>AVERAGEIFS('PM Protocol'!$E61:$Z61,'PM Protocol'!$E$9:$Z$9,"="&amp;Composites!G$8,'PM Protocol'!$E$10:$Z$10,"="&amp;Composites!G$9)</f>
        <v>0</v>
      </c>
      <c r="H60" s="284">
        <f>AVERAGEIFS('PM Protocol'!$E61:$Z61,'PM Protocol'!$E$9:$Z$9,"="&amp;Composites!H$8,'PM Protocol'!$E$10:$Z$10,"="&amp;Composites!H$9)</f>
        <v>0</v>
      </c>
      <c r="I60" s="284">
        <f>AVERAGEIFS('PM Protocol'!$E61:$Z61,'PM Protocol'!$E$9:$Z$9,"="&amp;Composites!I$8,'PM Protocol'!$E$10:$Z$10,"="&amp;Composites!I$9)</f>
        <v>0</v>
      </c>
      <c r="J60" s="284">
        <f t="shared" si="6"/>
        <v>0</v>
      </c>
      <c r="K60" s="284">
        <f t="shared" si="7"/>
        <v>0</v>
      </c>
      <c r="L60" s="284">
        <f t="shared" si="8"/>
        <v>0</v>
      </c>
      <c r="M60" s="284">
        <f t="shared" si="9"/>
        <v>0</v>
      </c>
      <c r="N60" s="284">
        <f t="shared" si="10"/>
        <v>0</v>
      </c>
      <c r="O60" s="286">
        <f t="shared" si="11"/>
        <v>0</v>
      </c>
    </row>
    <row r="61" spans="1:15">
      <c r="A61" s="263">
        <v>3365</v>
      </c>
      <c r="B61" s="294" t="str">
        <f>VLOOKUP(A61,'PM Protocol'!$A$12:$B$104,2,FALSE)</f>
        <v>n/a</v>
      </c>
      <c r="C61" s="264" t="s">
        <v>720</v>
      </c>
      <c r="D61" s="282">
        <f>AVERAGEIFS('PM Protocol'!$E62:$Z62,'PM Protocol'!$E$9:$Z$9,"="&amp;Composites!D$8,'PM Protocol'!$E$10:$Z$10,"="&amp;Composites!D$9)</f>
        <v>0</v>
      </c>
      <c r="E61" s="284">
        <f>AVERAGEIFS('PM Protocol'!$E62:$Z62,'PM Protocol'!$E$9:$Z$9,"="&amp;Composites!E$8,'PM Protocol'!$E$10:$Z$10,"="&amp;Composites!E$9)</f>
        <v>0</v>
      </c>
      <c r="F61" s="284">
        <f>AVERAGEIFS('PM Protocol'!$E62:$Z62,'PM Protocol'!$E$9:$Z$9,"="&amp;Composites!F$8,'PM Protocol'!$E$10:$Z$10,"="&amp;Composites!F$9)</f>
        <v>0</v>
      </c>
      <c r="G61" s="284">
        <f>AVERAGEIFS('PM Protocol'!$E62:$Z62,'PM Protocol'!$E$9:$Z$9,"="&amp;Composites!G$8,'PM Protocol'!$E$10:$Z$10,"="&amp;Composites!G$9)</f>
        <v>0</v>
      </c>
      <c r="H61" s="284">
        <f>AVERAGEIFS('PM Protocol'!$E62:$Z62,'PM Protocol'!$E$9:$Z$9,"="&amp;Composites!H$8,'PM Protocol'!$E$10:$Z$10,"="&amp;Composites!H$9)</f>
        <v>0</v>
      </c>
      <c r="I61" s="284">
        <f>AVERAGEIFS('PM Protocol'!$E62:$Z62,'PM Protocol'!$E$9:$Z$9,"="&amp;Composites!I$8,'PM Protocol'!$E$10:$Z$10,"="&amp;Composites!I$9)</f>
        <v>0</v>
      </c>
      <c r="J61" s="284">
        <f t="shared" si="6"/>
        <v>0</v>
      </c>
      <c r="K61" s="284">
        <f t="shared" si="7"/>
        <v>0</v>
      </c>
      <c r="L61" s="284">
        <f t="shared" si="8"/>
        <v>0</v>
      </c>
      <c r="M61" s="284">
        <f t="shared" si="9"/>
        <v>0</v>
      </c>
      <c r="N61" s="284">
        <f t="shared" si="10"/>
        <v>0</v>
      </c>
      <c r="O61" s="286">
        <f t="shared" si="11"/>
        <v>0</v>
      </c>
    </row>
    <row r="62" spans="1:15">
      <c r="A62" s="263">
        <v>3372</v>
      </c>
      <c r="B62" s="294" t="str">
        <f>VLOOKUP(A62,'PM Protocol'!$A$12:$B$104,2,FALSE)</f>
        <v>n/a</v>
      </c>
      <c r="C62" s="264" t="s">
        <v>721</v>
      </c>
      <c r="D62" s="282">
        <f>AVERAGEIFS('PM Protocol'!$E63:$Z63,'PM Protocol'!$E$9:$Z$9,"="&amp;Composites!D$8,'PM Protocol'!$E$10:$Z$10,"="&amp;Composites!D$9)</f>
        <v>0</v>
      </c>
      <c r="E62" s="284">
        <f>AVERAGEIFS('PM Protocol'!$E63:$Z63,'PM Protocol'!$E$9:$Z$9,"="&amp;Composites!E$8,'PM Protocol'!$E$10:$Z$10,"="&amp;Composites!E$9)</f>
        <v>0</v>
      </c>
      <c r="F62" s="284">
        <f>AVERAGEIFS('PM Protocol'!$E63:$Z63,'PM Protocol'!$E$9:$Z$9,"="&amp;Composites!F$8,'PM Protocol'!$E$10:$Z$10,"="&amp;Composites!F$9)</f>
        <v>0</v>
      </c>
      <c r="G62" s="284">
        <f>AVERAGEIFS('PM Protocol'!$E63:$Z63,'PM Protocol'!$E$9:$Z$9,"="&amp;Composites!G$8,'PM Protocol'!$E$10:$Z$10,"="&amp;Composites!G$9)</f>
        <v>0</v>
      </c>
      <c r="H62" s="284">
        <f>AVERAGEIFS('PM Protocol'!$E63:$Z63,'PM Protocol'!$E$9:$Z$9,"="&amp;Composites!H$8,'PM Protocol'!$E$10:$Z$10,"="&amp;Composites!H$9)</f>
        <v>0</v>
      </c>
      <c r="I62" s="284">
        <f>AVERAGEIFS('PM Protocol'!$E63:$Z63,'PM Protocol'!$E$9:$Z$9,"="&amp;Composites!I$8,'PM Protocol'!$E$10:$Z$10,"="&amp;Composites!I$9)</f>
        <v>0</v>
      </c>
      <c r="J62" s="284">
        <f t="shared" si="6"/>
        <v>0</v>
      </c>
      <c r="K62" s="284">
        <f t="shared" si="7"/>
        <v>0</v>
      </c>
      <c r="L62" s="284">
        <f t="shared" si="8"/>
        <v>0</v>
      </c>
      <c r="M62" s="284">
        <f t="shared" si="9"/>
        <v>0</v>
      </c>
      <c r="N62" s="284">
        <f t="shared" si="10"/>
        <v>0</v>
      </c>
      <c r="O62" s="286">
        <f t="shared" si="11"/>
        <v>0</v>
      </c>
    </row>
    <row r="63" spans="1:15">
      <c r="A63" s="263">
        <v>3373</v>
      </c>
      <c r="B63" s="294" t="str">
        <f>VLOOKUP(A63,'PM Protocol'!$A$12:$B$104,2,FALSE)</f>
        <v>n/a</v>
      </c>
      <c r="C63" s="264" t="s">
        <v>722</v>
      </c>
      <c r="D63" s="282">
        <f>AVERAGEIFS('PM Protocol'!$E64:$Z64,'PM Protocol'!$E$9:$Z$9,"="&amp;Composites!D$8,'PM Protocol'!$E$10:$Z$10,"="&amp;Composites!D$9)</f>
        <v>0</v>
      </c>
      <c r="E63" s="284">
        <f>AVERAGEIFS('PM Protocol'!$E64:$Z64,'PM Protocol'!$E$9:$Z$9,"="&amp;Composites!E$8,'PM Protocol'!$E$10:$Z$10,"="&amp;Composites!E$9)</f>
        <v>0</v>
      </c>
      <c r="F63" s="284">
        <f>AVERAGEIFS('PM Protocol'!$E64:$Z64,'PM Protocol'!$E$9:$Z$9,"="&amp;Composites!F$8,'PM Protocol'!$E$10:$Z$10,"="&amp;Composites!F$9)</f>
        <v>0</v>
      </c>
      <c r="G63" s="284">
        <f>AVERAGEIFS('PM Protocol'!$E64:$Z64,'PM Protocol'!$E$9:$Z$9,"="&amp;Composites!G$8,'PM Protocol'!$E$10:$Z$10,"="&amp;Composites!G$9)</f>
        <v>0</v>
      </c>
      <c r="H63" s="284">
        <f>AVERAGEIFS('PM Protocol'!$E64:$Z64,'PM Protocol'!$E$9:$Z$9,"="&amp;Composites!H$8,'PM Protocol'!$E$10:$Z$10,"="&amp;Composites!H$9)</f>
        <v>0</v>
      </c>
      <c r="I63" s="284">
        <f>AVERAGEIFS('PM Protocol'!$E64:$Z64,'PM Protocol'!$E$9:$Z$9,"="&amp;Composites!I$8,'PM Protocol'!$E$10:$Z$10,"="&amp;Composites!I$9)</f>
        <v>0</v>
      </c>
      <c r="J63" s="284">
        <f t="shared" si="6"/>
        <v>0</v>
      </c>
      <c r="K63" s="284">
        <f t="shared" si="7"/>
        <v>0</v>
      </c>
      <c r="L63" s="284">
        <f t="shared" si="8"/>
        <v>0</v>
      </c>
      <c r="M63" s="284">
        <f t="shared" si="9"/>
        <v>0</v>
      </c>
      <c r="N63" s="284">
        <f t="shared" si="10"/>
        <v>0</v>
      </c>
      <c r="O63" s="286">
        <f t="shared" si="11"/>
        <v>0</v>
      </c>
    </row>
    <row r="64" spans="1:15">
      <c r="A64" s="263">
        <v>3374</v>
      </c>
      <c r="B64" s="294" t="str">
        <f>VLOOKUP(A64,'PM Protocol'!$A$12:$B$104,2,FALSE)</f>
        <v>n/a</v>
      </c>
      <c r="C64" s="264" t="s">
        <v>723</v>
      </c>
      <c r="D64" s="282">
        <f>AVERAGEIFS('PM Protocol'!$E65:$Z65,'PM Protocol'!$E$9:$Z$9,"="&amp;Composites!D$8,'PM Protocol'!$E$10:$Z$10,"="&amp;Composites!D$9)</f>
        <v>0</v>
      </c>
      <c r="E64" s="284">
        <f>AVERAGEIFS('PM Protocol'!$E65:$Z65,'PM Protocol'!$E$9:$Z$9,"="&amp;Composites!E$8,'PM Protocol'!$E$10:$Z$10,"="&amp;Composites!E$9)</f>
        <v>0</v>
      </c>
      <c r="F64" s="284">
        <f>AVERAGEIFS('PM Protocol'!$E65:$Z65,'PM Protocol'!$E$9:$Z$9,"="&amp;Composites!F$8,'PM Protocol'!$E$10:$Z$10,"="&amp;Composites!F$9)</f>
        <v>0</v>
      </c>
      <c r="G64" s="284">
        <f>AVERAGEIFS('PM Protocol'!$E65:$Z65,'PM Protocol'!$E$9:$Z$9,"="&amp;Composites!G$8,'PM Protocol'!$E$10:$Z$10,"="&amp;Composites!G$9)</f>
        <v>0</v>
      </c>
      <c r="H64" s="284">
        <f>AVERAGEIFS('PM Protocol'!$E65:$Z65,'PM Protocol'!$E$9:$Z$9,"="&amp;Composites!H$8,'PM Protocol'!$E$10:$Z$10,"="&amp;Composites!H$9)</f>
        <v>0</v>
      </c>
      <c r="I64" s="284">
        <f>AVERAGEIFS('PM Protocol'!$E65:$Z65,'PM Protocol'!$E$9:$Z$9,"="&amp;Composites!I$8,'PM Protocol'!$E$10:$Z$10,"="&amp;Composites!I$9)</f>
        <v>0</v>
      </c>
      <c r="J64" s="284">
        <f t="shared" si="6"/>
        <v>0</v>
      </c>
      <c r="K64" s="284">
        <f t="shared" si="7"/>
        <v>0</v>
      </c>
      <c r="L64" s="284">
        <f t="shared" si="8"/>
        <v>0</v>
      </c>
      <c r="M64" s="284">
        <f t="shared" si="9"/>
        <v>0</v>
      </c>
      <c r="N64" s="284">
        <f t="shared" si="10"/>
        <v>0</v>
      </c>
      <c r="O64" s="286">
        <f t="shared" si="11"/>
        <v>0</v>
      </c>
    </row>
    <row r="65" spans="1:15">
      <c r="A65" s="263">
        <v>3375</v>
      </c>
      <c r="B65" s="294" t="str">
        <f>VLOOKUP(A65,'PM Protocol'!$A$12:$B$104,2,FALSE)</f>
        <v>n/a</v>
      </c>
      <c r="C65" s="264" t="s">
        <v>724</v>
      </c>
      <c r="D65" s="282">
        <f>AVERAGEIFS('PM Protocol'!$E66:$Z66,'PM Protocol'!$E$9:$Z$9,"="&amp;Composites!D$8,'PM Protocol'!$E$10:$Z$10,"="&amp;Composites!D$9)</f>
        <v>0</v>
      </c>
      <c r="E65" s="284">
        <f>AVERAGEIFS('PM Protocol'!$E66:$Z66,'PM Protocol'!$E$9:$Z$9,"="&amp;Composites!E$8,'PM Protocol'!$E$10:$Z$10,"="&amp;Composites!E$9)</f>
        <v>0</v>
      </c>
      <c r="F65" s="284">
        <f>AVERAGEIFS('PM Protocol'!$E66:$Z66,'PM Protocol'!$E$9:$Z$9,"="&amp;Composites!F$8,'PM Protocol'!$E$10:$Z$10,"="&amp;Composites!F$9)</f>
        <v>0</v>
      </c>
      <c r="G65" s="284">
        <f>AVERAGEIFS('PM Protocol'!$E66:$Z66,'PM Protocol'!$E$9:$Z$9,"="&amp;Composites!G$8,'PM Protocol'!$E$10:$Z$10,"="&amp;Composites!G$9)</f>
        <v>0</v>
      </c>
      <c r="H65" s="284">
        <f>AVERAGEIFS('PM Protocol'!$E66:$Z66,'PM Protocol'!$E$9:$Z$9,"="&amp;Composites!H$8,'PM Protocol'!$E$10:$Z$10,"="&amp;Composites!H$9)</f>
        <v>0</v>
      </c>
      <c r="I65" s="284">
        <f>AVERAGEIFS('PM Protocol'!$E66:$Z66,'PM Protocol'!$E$9:$Z$9,"="&amp;Composites!I$8,'PM Protocol'!$E$10:$Z$10,"="&amp;Composites!I$9)</f>
        <v>0</v>
      </c>
      <c r="J65" s="284">
        <f t="shared" si="6"/>
        <v>0</v>
      </c>
      <c r="K65" s="284">
        <f t="shared" si="7"/>
        <v>0</v>
      </c>
      <c r="L65" s="284">
        <f t="shared" si="8"/>
        <v>0</v>
      </c>
      <c r="M65" s="284">
        <f t="shared" si="9"/>
        <v>0</v>
      </c>
      <c r="N65" s="284">
        <f t="shared" si="10"/>
        <v>0</v>
      </c>
      <c r="O65" s="286">
        <f t="shared" si="11"/>
        <v>0</v>
      </c>
    </row>
    <row r="66" spans="1:15">
      <c r="A66" s="263">
        <v>3376</v>
      </c>
      <c r="B66" s="294" t="str">
        <f>VLOOKUP(A66,'PM Protocol'!$A$12:$B$104,2,FALSE)</f>
        <v>n/a</v>
      </c>
      <c r="C66" s="264" t="s">
        <v>725</v>
      </c>
      <c r="D66" s="282">
        <f>AVERAGEIFS('PM Protocol'!$E67:$Z67,'PM Protocol'!$E$9:$Z$9,"="&amp;Composites!D$8,'PM Protocol'!$E$10:$Z$10,"="&amp;Composites!D$9)</f>
        <v>0</v>
      </c>
      <c r="E66" s="284">
        <f>AVERAGEIFS('PM Protocol'!$E67:$Z67,'PM Protocol'!$E$9:$Z$9,"="&amp;Composites!E$8,'PM Protocol'!$E$10:$Z$10,"="&amp;Composites!E$9)</f>
        <v>0</v>
      </c>
      <c r="F66" s="284">
        <f>AVERAGEIFS('PM Protocol'!$E67:$Z67,'PM Protocol'!$E$9:$Z$9,"="&amp;Composites!F$8,'PM Protocol'!$E$10:$Z$10,"="&amp;Composites!F$9)</f>
        <v>0</v>
      </c>
      <c r="G66" s="284">
        <f>AVERAGEIFS('PM Protocol'!$E67:$Z67,'PM Protocol'!$E$9:$Z$9,"="&amp;Composites!G$8,'PM Protocol'!$E$10:$Z$10,"="&amp;Composites!G$9)</f>
        <v>0</v>
      </c>
      <c r="H66" s="284">
        <f>AVERAGEIFS('PM Protocol'!$E67:$Z67,'PM Protocol'!$E$9:$Z$9,"="&amp;Composites!H$8,'PM Protocol'!$E$10:$Z$10,"="&amp;Composites!H$9)</f>
        <v>0</v>
      </c>
      <c r="I66" s="284">
        <f>AVERAGEIFS('PM Protocol'!$E67:$Z67,'PM Protocol'!$E$9:$Z$9,"="&amp;Composites!I$8,'PM Protocol'!$E$10:$Z$10,"="&amp;Composites!I$9)</f>
        <v>0</v>
      </c>
      <c r="J66" s="284">
        <f t="shared" si="6"/>
        <v>0</v>
      </c>
      <c r="K66" s="284">
        <f t="shared" si="7"/>
        <v>0</v>
      </c>
      <c r="L66" s="284">
        <f t="shared" si="8"/>
        <v>0</v>
      </c>
      <c r="M66" s="284">
        <f t="shared" si="9"/>
        <v>0</v>
      </c>
      <c r="N66" s="284">
        <f t="shared" si="10"/>
        <v>0</v>
      </c>
      <c r="O66" s="286">
        <f t="shared" si="11"/>
        <v>0</v>
      </c>
    </row>
    <row r="67" spans="1:15">
      <c r="A67" s="263">
        <v>3383</v>
      </c>
      <c r="B67" s="294" t="str">
        <f>VLOOKUP(A67,'PM Protocol'!$A$12:$B$104,2,FALSE)</f>
        <v>n/a</v>
      </c>
      <c r="C67" s="264" t="s">
        <v>726</v>
      </c>
      <c r="D67" s="282">
        <f>AVERAGEIFS('PM Protocol'!$E68:$Z68,'PM Protocol'!$E$9:$Z$9,"="&amp;Composites!D$8,'PM Protocol'!$E$10:$Z$10,"="&amp;Composites!D$9)</f>
        <v>0</v>
      </c>
      <c r="E67" s="284">
        <f>AVERAGEIFS('PM Protocol'!$E68:$Z68,'PM Protocol'!$E$9:$Z$9,"="&amp;Composites!E$8,'PM Protocol'!$E$10:$Z$10,"="&amp;Composites!E$9)</f>
        <v>0</v>
      </c>
      <c r="F67" s="284">
        <f>AVERAGEIFS('PM Protocol'!$E68:$Z68,'PM Protocol'!$E$9:$Z$9,"="&amp;Composites!F$8,'PM Protocol'!$E$10:$Z$10,"="&amp;Composites!F$9)</f>
        <v>0</v>
      </c>
      <c r="G67" s="284">
        <f>AVERAGEIFS('PM Protocol'!$E68:$Z68,'PM Protocol'!$E$9:$Z$9,"="&amp;Composites!G$8,'PM Protocol'!$E$10:$Z$10,"="&amp;Composites!G$9)</f>
        <v>0</v>
      </c>
      <c r="H67" s="284">
        <f>AVERAGEIFS('PM Protocol'!$E68:$Z68,'PM Protocol'!$E$9:$Z$9,"="&amp;Composites!H$8,'PM Protocol'!$E$10:$Z$10,"="&amp;Composites!H$9)</f>
        <v>0</v>
      </c>
      <c r="I67" s="284">
        <f>AVERAGEIFS('PM Protocol'!$E68:$Z68,'PM Protocol'!$E$9:$Z$9,"="&amp;Composites!I$8,'PM Protocol'!$E$10:$Z$10,"="&amp;Composites!I$9)</f>
        <v>0</v>
      </c>
      <c r="J67" s="284">
        <f t="shared" si="6"/>
        <v>0</v>
      </c>
      <c r="K67" s="284">
        <f t="shared" si="7"/>
        <v>0</v>
      </c>
      <c r="L67" s="284">
        <f t="shared" si="8"/>
        <v>0</v>
      </c>
      <c r="M67" s="284">
        <f t="shared" si="9"/>
        <v>0</v>
      </c>
      <c r="N67" s="284">
        <f t="shared" si="10"/>
        <v>0</v>
      </c>
      <c r="O67" s="286">
        <f t="shared" si="11"/>
        <v>0</v>
      </c>
    </row>
    <row r="68" spans="1:15">
      <c r="A68" s="263">
        <v>3384</v>
      </c>
      <c r="B68" s="294" t="str">
        <f>VLOOKUP(A68,'PM Protocol'!$A$12:$B$104,2,FALSE)</f>
        <v>n/a</v>
      </c>
      <c r="C68" s="264" t="s">
        <v>727</v>
      </c>
      <c r="D68" s="282">
        <f>AVERAGEIFS('PM Protocol'!$E69:$Z69,'PM Protocol'!$E$9:$Z$9,"="&amp;Composites!D$8,'PM Protocol'!$E$10:$Z$10,"="&amp;Composites!D$9)</f>
        <v>0</v>
      </c>
      <c r="E68" s="284">
        <f>AVERAGEIFS('PM Protocol'!$E69:$Z69,'PM Protocol'!$E$9:$Z$9,"="&amp;Composites!E$8,'PM Protocol'!$E$10:$Z$10,"="&amp;Composites!E$9)</f>
        <v>0</v>
      </c>
      <c r="F68" s="284">
        <f>AVERAGEIFS('PM Protocol'!$E69:$Z69,'PM Protocol'!$E$9:$Z$9,"="&amp;Composites!F$8,'PM Protocol'!$E$10:$Z$10,"="&amp;Composites!F$9)</f>
        <v>0</v>
      </c>
      <c r="G68" s="284">
        <f>AVERAGEIFS('PM Protocol'!$E69:$Z69,'PM Protocol'!$E$9:$Z$9,"="&amp;Composites!G$8,'PM Protocol'!$E$10:$Z$10,"="&amp;Composites!G$9)</f>
        <v>0</v>
      </c>
      <c r="H68" s="284">
        <f>AVERAGEIFS('PM Protocol'!$E69:$Z69,'PM Protocol'!$E$9:$Z$9,"="&amp;Composites!H$8,'PM Protocol'!$E$10:$Z$10,"="&amp;Composites!H$9)</f>
        <v>0</v>
      </c>
      <c r="I68" s="284">
        <f>AVERAGEIFS('PM Protocol'!$E69:$Z69,'PM Protocol'!$E$9:$Z$9,"="&amp;Composites!I$8,'PM Protocol'!$E$10:$Z$10,"="&amp;Composites!I$9)</f>
        <v>0</v>
      </c>
      <c r="J68" s="284">
        <f t="shared" si="6"/>
        <v>0</v>
      </c>
      <c r="K68" s="284">
        <f t="shared" si="7"/>
        <v>0</v>
      </c>
      <c r="L68" s="284">
        <f t="shared" si="8"/>
        <v>0</v>
      </c>
      <c r="M68" s="284">
        <f t="shared" si="9"/>
        <v>0</v>
      </c>
      <c r="N68" s="284">
        <f t="shared" si="10"/>
        <v>0</v>
      </c>
      <c r="O68" s="286">
        <f t="shared" si="11"/>
        <v>0</v>
      </c>
    </row>
    <row r="69" spans="1:15">
      <c r="A69" s="263">
        <v>3385</v>
      </c>
      <c r="B69" s="294" t="str">
        <f>VLOOKUP(A69,'PM Protocol'!$A$12:$B$104,2,FALSE)</f>
        <v>n/a</v>
      </c>
      <c r="C69" s="264" t="s">
        <v>728</v>
      </c>
      <c r="D69" s="282">
        <f>AVERAGEIFS('PM Protocol'!$E70:$Z70,'PM Protocol'!$E$9:$Z$9,"="&amp;Composites!D$8,'PM Protocol'!$E$10:$Z$10,"="&amp;Composites!D$9)</f>
        <v>0</v>
      </c>
      <c r="E69" s="284">
        <f>AVERAGEIFS('PM Protocol'!$E70:$Z70,'PM Protocol'!$E$9:$Z$9,"="&amp;Composites!E$8,'PM Protocol'!$E$10:$Z$10,"="&amp;Composites!E$9)</f>
        <v>0</v>
      </c>
      <c r="F69" s="284">
        <f>AVERAGEIFS('PM Protocol'!$E70:$Z70,'PM Protocol'!$E$9:$Z$9,"="&amp;Composites!F$8,'PM Protocol'!$E$10:$Z$10,"="&amp;Composites!F$9)</f>
        <v>0</v>
      </c>
      <c r="G69" s="284">
        <f>AVERAGEIFS('PM Protocol'!$E70:$Z70,'PM Protocol'!$E$9:$Z$9,"="&amp;Composites!G$8,'PM Protocol'!$E$10:$Z$10,"="&amp;Composites!G$9)</f>
        <v>0</v>
      </c>
      <c r="H69" s="284">
        <f>AVERAGEIFS('PM Protocol'!$E70:$Z70,'PM Protocol'!$E$9:$Z$9,"="&amp;Composites!H$8,'PM Protocol'!$E$10:$Z$10,"="&amp;Composites!H$9)</f>
        <v>0</v>
      </c>
      <c r="I69" s="284">
        <f>AVERAGEIFS('PM Protocol'!$E70:$Z70,'PM Protocol'!$E$9:$Z$9,"="&amp;Composites!I$8,'PM Protocol'!$E$10:$Z$10,"="&amp;Composites!I$9)</f>
        <v>0</v>
      </c>
      <c r="J69" s="284">
        <f t="shared" si="6"/>
        <v>0</v>
      </c>
      <c r="K69" s="284">
        <f t="shared" si="7"/>
        <v>0</v>
      </c>
      <c r="L69" s="284">
        <f t="shared" si="8"/>
        <v>0</v>
      </c>
      <c r="M69" s="284">
        <f t="shared" si="9"/>
        <v>0</v>
      </c>
      <c r="N69" s="284">
        <f t="shared" si="10"/>
        <v>0</v>
      </c>
      <c r="O69" s="286">
        <f t="shared" si="11"/>
        <v>0</v>
      </c>
    </row>
    <row r="70" spans="1:15">
      <c r="A70" s="263">
        <v>3386</v>
      </c>
      <c r="B70" s="294" t="str">
        <f>VLOOKUP(A70,'PM Protocol'!$A$12:$B$104,2,FALSE)</f>
        <v>n/a</v>
      </c>
      <c r="C70" s="264" t="s">
        <v>729</v>
      </c>
      <c r="D70" s="282">
        <f>AVERAGEIFS('PM Protocol'!$E71:$Z71,'PM Protocol'!$E$9:$Z$9,"="&amp;Composites!D$8,'PM Protocol'!$E$10:$Z$10,"="&amp;Composites!D$9)</f>
        <v>0</v>
      </c>
      <c r="E70" s="284">
        <f>AVERAGEIFS('PM Protocol'!$E71:$Z71,'PM Protocol'!$E$9:$Z$9,"="&amp;Composites!E$8,'PM Protocol'!$E$10:$Z$10,"="&amp;Composites!E$9)</f>
        <v>0</v>
      </c>
      <c r="F70" s="284">
        <f>AVERAGEIFS('PM Protocol'!$E71:$Z71,'PM Protocol'!$E$9:$Z$9,"="&amp;Composites!F$8,'PM Protocol'!$E$10:$Z$10,"="&amp;Composites!F$9)</f>
        <v>0</v>
      </c>
      <c r="G70" s="284">
        <f>AVERAGEIFS('PM Protocol'!$E71:$Z71,'PM Protocol'!$E$9:$Z$9,"="&amp;Composites!G$8,'PM Protocol'!$E$10:$Z$10,"="&amp;Composites!G$9)</f>
        <v>0</v>
      </c>
      <c r="H70" s="284">
        <f>AVERAGEIFS('PM Protocol'!$E71:$Z71,'PM Protocol'!$E$9:$Z$9,"="&amp;Composites!H$8,'PM Protocol'!$E$10:$Z$10,"="&amp;Composites!H$9)</f>
        <v>0</v>
      </c>
      <c r="I70" s="284">
        <f>AVERAGEIFS('PM Protocol'!$E71:$Z71,'PM Protocol'!$E$9:$Z$9,"="&amp;Composites!I$8,'PM Protocol'!$E$10:$Z$10,"="&amp;Composites!I$9)</f>
        <v>0</v>
      </c>
      <c r="J70" s="284">
        <f t="shared" si="6"/>
        <v>0</v>
      </c>
      <c r="K70" s="284">
        <f t="shared" si="7"/>
        <v>0</v>
      </c>
      <c r="L70" s="284">
        <f t="shared" si="8"/>
        <v>0</v>
      </c>
      <c r="M70" s="284">
        <f t="shared" si="9"/>
        <v>0</v>
      </c>
      <c r="N70" s="284">
        <f t="shared" si="10"/>
        <v>0</v>
      </c>
      <c r="O70" s="286">
        <f t="shared" si="11"/>
        <v>0</v>
      </c>
    </row>
    <row r="71" spans="1:15">
      <c r="A71" s="263">
        <v>3387</v>
      </c>
      <c r="B71" s="294" t="str">
        <f>VLOOKUP(A71,'PM Protocol'!$A$12:$B$104,2,FALSE)</f>
        <v>n/a</v>
      </c>
      <c r="C71" s="264" t="s">
        <v>730</v>
      </c>
      <c r="D71" s="282">
        <f>AVERAGEIFS('PM Protocol'!$E72:$Z72,'PM Protocol'!$E$9:$Z$9,"="&amp;Composites!D$8,'PM Protocol'!$E$10:$Z$10,"="&amp;Composites!D$9)</f>
        <v>0</v>
      </c>
      <c r="E71" s="284">
        <f>AVERAGEIFS('PM Protocol'!$E72:$Z72,'PM Protocol'!$E$9:$Z$9,"="&amp;Composites!E$8,'PM Protocol'!$E$10:$Z$10,"="&amp;Composites!E$9)</f>
        <v>0</v>
      </c>
      <c r="F71" s="284">
        <f>AVERAGEIFS('PM Protocol'!$E72:$Z72,'PM Protocol'!$E$9:$Z$9,"="&amp;Composites!F$8,'PM Protocol'!$E$10:$Z$10,"="&amp;Composites!F$9)</f>
        <v>0</v>
      </c>
      <c r="G71" s="284">
        <f>AVERAGEIFS('PM Protocol'!$E72:$Z72,'PM Protocol'!$E$9:$Z$9,"="&amp;Composites!G$8,'PM Protocol'!$E$10:$Z$10,"="&amp;Composites!G$9)</f>
        <v>0</v>
      </c>
      <c r="H71" s="284">
        <f>AVERAGEIFS('PM Protocol'!$E72:$Z72,'PM Protocol'!$E$9:$Z$9,"="&amp;Composites!H$8,'PM Protocol'!$E$10:$Z$10,"="&amp;Composites!H$9)</f>
        <v>0</v>
      </c>
      <c r="I71" s="284">
        <f>AVERAGEIFS('PM Protocol'!$E72:$Z72,'PM Protocol'!$E$9:$Z$9,"="&amp;Composites!I$8,'PM Protocol'!$E$10:$Z$10,"="&amp;Composites!I$9)</f>
        <v>0</v>
      </c>
      <c r="J71" s="284">
        <f t="shared" si="6"/>
        <v>0</v>
      </c>
      <c r="K71" s="284">
        <f t="shared" si="7"/>
        <v>0</v>
      </c>
      <c r="L71" s="284">
        <f t="shared" si="8"/>
        <v>0</v>
      </c>
      <c r="M71" s="284">
        <f t="shared" si="9"/>
        <v>0</v>
      </c>
      <c r="N71" s="284">
        <f t="shared" si="10"/>
        <v>0</v>
      </c>
      <c r="O71" s="286">
        <f t="shared" si="11"/>
        <v>0</v>
      </c>
    </row>
    <row r="72" spans="1:15">
      <c r="A72" s="263">
        <v>3394</v>
      </c>
      <c r="B72" s="294" t="str">
        <f>VLOOKUP(A72,'PM Protocol'!$A$12:$B$104,2,FALSE)</f>
        <v>n/a</v>
      </c>
      <c r="C72" s="264" t="s">
        <v>731</v>
      </c>
      <c r="D72" s="282">
        <f>AVERAGEIFS('PM Protocol'!$E73:$Z73,'PM Protocol'!$E$9:$Z$9,"="&amp;Composites!D$8,'PM Protocol'!$E$10:$Z$10,"="&amp;Composites!D$9)</f>
        <v>0</v>
      </c>
      <c r="E72" s="284">
        <f>AVERAGEIFS('PM Protocol'!$E73:$Z73,'PM Protocol'!$E$9:$Z$9,"="&amp;Composites!E$8,'PM Protocol'!$E$10:$Z$10,"="&amp;Composites!E$9)</f>
        <v>0</v>
      </c>
      <c r="F72" s="284">
        <f>AVERAGEIFS('PM Protocol'!$E73:$Z73,'PM Protocol'!$E$9:$Z$9,"="&amp;Composites!F$8,'PM Protocol'!$E$10:$Z$10,"="&amp;Composites!F$9)</f>
        <v>0</v>
      </c>
      <c r="G72" s="284">
        <f>AVERAGEIFS('PM Protocol'!$E73:$Z73,'PM Protocol'!$E$9:$Z$9,"="&amp;Composites!G$8,'PM Protocol'!$E$10:$Z$10,"="&amp;Composites!G$9)</f>
        <v>0</v>
      </c>
      <c r="H72" s="284">
        <f>AVERAGEIFS('PM Protocol'!$E73:$Z73,'PM Protocol'!$E$9:$Z$9,"="&amp;Composites!H$8,'PM Protocol'!$E$10:$Z$10,"="&amp;Composites!H$9)</f>
        <v>0</v>
      </c>
      <c r="I72" s="284">
        <f>AVERAGEIFS('PM Protocol'!$E73:$Z73,'PM Protocol'!$E$9:$Z$9,"="&amp;Composites!I$8,'PM Protocol'!$E$10:$Z$10,"="&amp;Composites!I$9)</f>
        <v>0</v>
      </c>
      <c r="J72" s="284">
        <f t="shared" si="6"/>
        <v>0</v>
      </c>
      <c r="K72" s="284">
        <f t="shared" si="7"/>
        <v>0</v>
      </c>
      <c r="L72" s="284">
        <f t="shared" si="8"/>
        <v>0</v>
      </c>
      <c r="M72" s="284">
        <f t="shared" si="9"/>
        <v>0</v>
      </c>
      <c r="N72" s="284">
        <f t="shared" si="10"/>
        <v>0</v>
      </c>
      <c r="O72" s="286">
        <f t="shared" si="11"/>
        <v>0</v>
      </c>
    </row>
    <row r="73" spans="1:15">
      <c r="A73" s="263">
        <v>3395</v>
      </c>
      <c r="B73" s="294" t="str">
        <f>VLOOKUP(A73,'PM Protocol'!$A$12:$B$104,2,FALSE)</f>
        <v>n/a</v>
      </c>
      <c r="C73" s="264" t="s">
        <v>732</v>
      </c>
      <c r="D73" s="282">
        <f>AVERAGEIFS('PM Protocol'!$E74:$Z74,'PM Protocol'!$E$9:$Z$9,"="&amp;Composites!D$8,'PM Protocol'!$E$10:$Z$10,"="&amp;Composites!D$9)</f>
        <v>0</v>
      </c>
      <c r="E73" s="284">
        <f>AVERAGEIFS('PM Protocol'!$E74:$Z74,'PM Protocol'!$E$9:$Z$9,"="&amp;Composites!E$8,'PM Protocol'!$E$10:$Z$10,"="&amp;Composites!E$9)</f>
        <v>0</v>
      </c>
      <c r="F73" s="284">
        <f>AVERAGEIFS('PM Protocol'!$E74:$Z74,'PM Protocol'!$E$9:$Z$9,"="&amp;Composites!F$8,'PM Protocol'!$E$10:$Z$10,"="&amp;Composites!F$9)</f>
        <v>0</v>
      </c>
      <c r="G73" s="284">
        <f>AVERAGEIFS('PM Protocol'!$E74:$Z74,'PM Protocol'!$E$9:$Z$9,"="&amp;Composites!G$8,'PM Protocol'!$E$10:$Z$10,"="&amp;Composites!G$9)</f>
        <v>0</v>
      </c>
      <c r="H73" s="284">
        <f>AVERAGEIFS('PM Protocol'!$E74:$Z74,'PM Protocol'!$E$9:$Z$9,"="&amp;Composites!H$8,'PM Protocol'!$E$10:$Z$10,"="&amp;Composites!H$9)</f>
        <v>0</v>
      </c>
      <c r="I73" s="284">
        <f>AVERAGEIFS('PM Protocol'!$E74:$Z74,'PM Protocol'!$E$9:$Z$9,"="&amp;Composites!I$8,'PM Protocol'!$E$10:$Z$10,"="&amp;Composites!I$9)</f>
        <v>0</v>
      </c>
      <c r="J73" s="284">
        <f t="shared" si="6"/>
        <v>0</v>
      </c>
      <c r="K73" s="284">
        <f t="shared" si="7"/>
        <v>0</v>
      </c>
      <c r="L73" s="284">
        <f t="shared" si="8"/>
        <v>0</v>
      </c>
      <c r="M73" s="284">
        <f t="shared" si="9"/>
        <v>0</v>
      </c>
      <c r="N73" s="284">
        <f t="shared" si="10"/>
        <v>0</v>
      </c>
      <c r="O73" s="286">
        <f t="shared" si="11"/>
        <v>0</v>
      </c>
    </row>
    <row r="74" spans="1:15">
      <c r="A74" s="263">
        <v>3396</v>
      </c>
      <c r="B74" s="294" t="str">
        <f>VLOOKUP(A74,'PM Protocol'!$A$12:$B$104,2,FALSE)</f>
        <v>n/a</v>
      </c>
      <c r="C74" s="264" t="s">
        <v>733</v>
      </c>
      <c r="D74" s="282">
        <f>AVERAGEIFS('PM Protocol'!$E75:$Z75,'PM Protocol'!$E$9:$Z$9,"="&amp;Composites!D$8,'PM Protocol'!$E$10:$Z$10,"="&amp;Composites!D$9)</f>
        <v>0</v>
      </c>
      <c r="E74" s="284">
        <f>AVERAGEIFS('PM Protocol'!$E75:$Z75,'PM Protocol'!$E$9:$Z$9,"="&amp;Composites!E$8,'PM Protocol'!$E$10:$Z$10,"="&amp;Composites!E$9)</f>
        <v>0</v>
      </c>
      <c r="F74" s="284">
        <f>AVERAGEIFS('PM Protocol'!$E75:$Z75,'PM Protocol'!$E$9:$Z$9,"="&amp;Composites!F$8,'PM Protocol'!$E$10:$Z$10,"="&amp;Composites!F$9)</f>
        <v>0</v>
      </c>
      <c r="G74" s="284">
        <f>AVERAGEIFS('PM Protocol'!$E75:$Z75,'PM Protocol'!$E$9:$Z$9,"="&amp;Composites!G$8,'PM Protocol'!$E$10:$Z$10,"="&amp;Composites!G$9)</f>
        <v>0</v>
      </c>
      <c r="H74" s="284">
        <f>AVERAGEIFS('PM Protocol'!$E75:$Z75,'PM Protocol'!$E$9:$Z$9,"="&amp;Composites!H$8,'PM Protocol'!$E$10:$Z$10,"="&amp;Composites!H$9)</f>
        <v>0</v>
      </c>
      <c r="I74" s="284">
        <f>AVERAGEIFS('PM Protocol'!$E75:$Z75,'PM Protocol'!$E$9:$Z$9,"="&amp;Composites!I$8,'PM Protocol'!$E$10:$Z$10,"="&amp;Composites!I$9)</f>
        <v>0</v>
      </c>
      <c r="J74" s="284">
        <f t="shared" si="6"/>
        <v>0</v>
      </c>
      <c r="K74" s="284">
        <f t="shared" si="7"/>
        <v>0</v>
      </c>
      <c r="L74" s="284">
        <f t="shared" si="8"/>
        <v>0</v>
      </c>
      <c r="M74" s="284">
        <f t="shared" si="9"/>
        <v>0</v>
      </c>
      <c r="N74" s="284">
        <f t="shared" si="10"/>
        <v>0</v>
      </c>
      <c r="O74" s="286">
        <f t="shared" si="11"/>
        <v>0</v>
      </c>
    </row>
    <row r="75" spans="1:15">
      <c r="A75" s="263">
        <v>3397</v>
      </c>
      <c r="B75" s="294" t="str">
        <f>VLOOKUP(A75,'PM Protocol'!$A$12:$B$104,2,FALSE)</f>
        <v>n/a</v>
      </c>
      <c r="C75" s="264" t="s">
        <v>734</v>
      </c>
      <c r="D75" s="282">
        <f>AVERAGEIFS('PM Protocol'!$E76:$Z76,'PM Protocol'!$E$9:$Z$9,"="&amp;Composites!D$8,'PM Protocol'!$E$10:$Z$10,"="&amp;Composites!D$9)</f>
        <v>0</v>
      </c>
      <c r="E75" s="284">
        <f>AVERAGEIFS('PM Protocol'!$E76:$Z76,'PM Protocol'!$E$9:$Z$9,"="&amp;Composites!E$8,'PM Protocol'!$E$10:$Z$10,"="&amp;Composites!E$9)</f>
        <v>0</v>
      </c>
      <c r="F75" s="284">
        <f>AVERAGEIFS('PM Protocol'!$E76:$Z76,'PM Protocol'!$E$9:$Z$9,"="&amp;Composites!F$8,'PM Protocol'!$E$10:$Z$10,"="&amp;Composites!F$9)</f>
        <v>0</v>
      </c>
      <c r="G75" s="284">
        <f>AVERAGEIFS('PM Protocol'!$E76:$Z76,'PM Protocol'!$E$9:$Z$9,"="&amp;Composites!G$8,'PM Protocol'!$E$10:$Z$10,"="&amp;Composites!G$9)</f>
        <v>0</v>
      </c>
      <c r="H75" s="284">
        <f>AVERAGEIFS('PM Protocol'!$E76:$Z76,'PM Protocol'!$E$9:$Z$9,"="&amp;Composites!H$8,'PM Protocol'!$E$10:$Z$10,"="&amp;Composites!H$9)</f>
        <v>0</v>
      </c>
      <c r="I75" s="284">
        <f>AVERAGEIFS('PM Protocol'!$E76:$Z76,'PM Protocol'!$E$9:$Z$9,"="&amp;Composites!I$8,'PM Protocol'!$E$10:$Z$10,"="&amp;Composites!I$9)</f>
        <v>0</v>
      </c>
      <c r="J75" s="284">
        <f t="shared" si="6"/>
        <v>0</v>
      </c>
      <c r="K75" s="284">
        <f t="shared" si="7"/>
        <v>0</v>
      </c>
      <c r="L75" s="284">
        <f t="shared" si="8"/>
        <v>0</v>
      </c>
      <c r="M75" s="284">
        <f t="shared" si="9"/>
        <v>0</v>
      </c>
      <c r="N75" s="284">
        <f t="shared" si="10"/>
        <v>0</v>
      </c>
      <c r="O75" s="286">
        <f t="shared" si="11"/>
        <v>0</v>
      </c>
    </row>
    <row r="76" spans="1:15">
      <c r="A76" s="263">
        <v>3398</v>
      </c>
      <c r="B76" s="294" t="str">
        <f>VLOOKUP(A76,'PM Protocol'!$A$12:$B$104,2,FALSE)</f>
        <v>n/a</v>
      </c>
      <c r="C76" s="264" t="s">
        <v>735</v>
      </c>
      <c r="D76" s="282">
        <f>AVERAGEIFS('PM Protocol'!$E77:$Z77,'PM Protocol'!$E$9:$Z$9,"="&amp;Composites!D$8,'PM Protocol'!$E$10:$Z$10,"="&amp;Composites!D$9)</f>
        <v>0</v>
      </c>
      <c r="E76" s="284">
        <f>AVERAGEIFS('PM Protocol'!$E77:$Z77,'PM Protocol'!$E$9:$Z$9,"="&amp;Composites!E$8,'PM Protocol'!$E$10:$Z$10,"="&amp;Composites!E$9)</f>
        <v>0</v>
      </c>
      <c r="F76" s="284">
        <f>AVERAGEIFS('PM Protocol'!$E77:$Z77,'PM Protocol'!$E$9:$Z$9,"="&amp;Composites!F$8,'PM Protocol'!$E$10:$Z$10,"="&amp;Composites!F$9)</f>
        <v>0</v>
      </c>
      <c r="G76" s="284">
        <f>AVERAGEIFS('PM Protocol'!$E77:$Z77,'PM Protocol'!$E$9:$Z$9,"="&amp;Composites!G$8,'PM Protocol'!$E$10:$Z$10,"="&amp;Composites!G$9)</f>
        <v>0</v>
      </c>
      <c r="H76" s="284">
        <f>AVERAGEIFS('PM Protocol'!$E77:$Z77,'PM Protocol'!$E$9:$Z$9,"="&amp;Composites!H$8,'PM Protocol'!$E$10:$Z$10,"="&amp;Composites!H$9)</f>
        <v>0</v>
      </c>
      <c r="I76" s="284">
        <f>AVERAGEIFS('PM Protocol'!$E77:$Z77,'PM Protocol'!$E$9:$Z$9,"="&amp;Composites!I$8,'PM Protocol'!$E$10:$Z$10,"="&amp;Composites!I$9)</f>
        <v>0</v>
      </c>
      <c r="J76" s="284">
        <f t="shared" ref="J76:J103" si="12">0.58*D76+0.42*E76</f>
        <v>0</v>
      </c>
      <c r="K76" s="284">
        <f t="shared" ref="K76:K103" si="13">0.58*F76+0.42*G76</f>
        <v>0</v>
      </c>
      <c r="L76" s="284">
        <f t="shared" ref="L76:L103" si="14">0.58*H76+0.42*I76</f>
        <v>0</v>
      </c>
      <c r="M76" s="284">
        <f t="shared" ref="M76:M103" si="15">0.6*D76+0.35*F76+0.05*H76</f>
        <v>0</v>
      </c>
      <c r="N76" s="284">
        <f t="shared" ref="N76:N103" si="16">0.6*E76+0.35*G76+0.05*I76</f>
        <v>0</v>
      </c>
      <c r="O76" s="286">
        <f t="shared" ref="O76:O103" si="17">0.58*M76+0.42*N76</f>
        <v>0</v>
      </c>
    </row>
    <row r="77" spans="1:15">
      <c r="A77" s="263">
        <v>666</v>
      </c>
      <c r="B77" s="294" t="str">
        <f>VLOOKUP(A77,'PM Protocol'!$A$12:$B$104,2,FALSE)</f>
        <v>XRF</v>
      </c>
      <c r="C77" s="264" t="s">
        <v>623</v>
      </c>
      <c r="D77" s="282">
        <f>AVERAGEIFS('PM Protocol'!$E78:$Z78,'PM Protocol'!$E$9:$Z$9,"="&amp;Composites!D$8,'PM Protocol'!$E$10:$Z$10,"="&amp;Composites!D$9)</f>
        <v>4.096820371835547E-5</v>
      </c>
      <c r="E77" s="284">
        <f>AVERAGEIFS('PM Protocol'!$E78:$Z78,'PM Protocol'!$E$9:$Z$9,"="&amp;Composites!E$8,'PM Protocol'!$E$10:$Z$10,"="&amp;Composites!E$9)</f>
        <v>1.5355653859888787E-5</v>
      </c>
      <c r="F77" s="284">
        <f>AVERAGEIFS('PM Protocol'!$E78:$Z78,'PM Protocol'!$E$9:$Z$9,"="&amp;Composites!F$8,'PM Protocol'!$E$10:$Z$10,"="&amp;Composites!F$9)</f>
        <v>0</v>
      </c>
      <c r="G77" s="284">
        <f>AVERAGEIFS('PM Protocol'!$E78:$Z78,'PM Protocol'!$E$9:$Z$9,"="&amp;Composites!G$8,'PM Protocol'!$E$10:$Z$10,"="&amp;Composites!G$9)</f>
        <v>2.0365585071823003E-5</v>
      </c>
      <c r="H77" s="284">
        <f>AVERAGEIFS('PM Protocol'!$E78:$Z78,'PM Protocol'!$E$9:$Z$9,"="&amp;Composites!H$8,'PM Protocol'!$E$10:$Z$10,"="&amp;Composites!H$9)</f>
        <v>2.4160539284950859E-5</v>
      </c>
      <c r="I77" s="284">
        <f>AVERAGEIFS('PM Protocol'!$E78:$Z78,'PM Protocol'!$E$9:$Z$9,"="&amp;Composites!I$8,'PM Protocol'!$E$10:$Z$10,"="&amp;Composites!I$9)</f>
        <v>2.8446076279362807E-6</v>
      </c>
      <c r="J77" s="284">
        <f t="shared" si="12"/>
        <v>3.0210932777799462E-5</v>
      </c>
      <c r="K77" s="284">
        <f t="shared" si="13"/>
        <v>8.5535457301656602E-6</v>
      </c>
      <c r="L77" s="284">
        <f t="shared" si="14"/>
        <v>1.5207847989004735E-5</v>
      </c>
      <c r="M77" s="284">
        <f t="shared" si="15"/>
        <v>2.5788949195260824E-5</v>
      </c>
      <c r="N77" s="284">
        <f t="shared" si="16"/>
        <v>1.6483577472468137E-5</v>
      </c>
      <c r="O77" s="286">
        <f t="shared" si="17"/>
        <v>2.1880693071687894E-5</v>
      </c>
    </row>
    <row r="78" spans="1:15">
      <c r="A78" s="263">
        <v>767</v>
      </c>
      <c r="B78" s="294" t="str">
        <f>VLOOKUP(A78,'PM Protocol'!$A$12:$B$104,2,FALSE)</f>
        <v>XRF</v>
      </c>
      <c r="C78" s="264" t="s">
        <v>629</v>
      </c>
      <c r="D78" s="282">
        <f>AVERAGEIFS('PM Protocol'!$E79:$Z79,'PM Protocol'!$E$9:$Z$9,"="&amp;Composites!D$8,'PM Protocol'!$E$10:$Z$10,"="&amp;Composites!D$9)</f>
        <v>5.1869452902309114E-6</v>
      </c>
      <c r="E78" s="284">
        <f>AVERAGEIFS('PM Protocol'!$E79:$Z79,'PM Protocol'!$E$9:$Z$9,"="&amp;Composites!E$8,'PM Protocol'!$E$10:$Z$10,"="&amp;Composites!E$9)</f>
        <v>0</v>
      </c>
      <c r="F78" s="284">
        <f>AVERAGEIFS('PM Protocol'!$E79:$Z79,'PM Protocol'!$E$9:$Z$9,"="&amp;Composites!F$8,'PM Protocol'!$E$10:$Z$10,"="&amp;Composites!F$9)</f>
        <v>0</v>
      </c>
      <c r="G78" s="284">
        <f>AVERAGEIFS('PM Protocol'!$E79:$Z79,'PM Protocol'!$E$9:$Z$9,"="&amp;Composites!G$8,'PM Protocol'!$E$10:$Z$10,"="&amp;Composites!G$9)</f>
        <v>1.1863041173629532E-6</v>
      </c>
      <c r="H78" s="284">
        <f>AVERAGEIFS('PM Protocol'!$E79:$Z79,'PM Protocol'!$E$9:$Z$9,"="&amp;Composites!H$8,'PM Protocol'!$E$10:$Z$10,"="&amp;Composites!H$9)</f>
        <v>0</v>
      </c>
      <c r="I78" s="284">
        <f>AVERAGEIFS('PM Protocol'!$E79:$Z79,'PM Protocol'!$E$9:$Z$9,"="&amp;Composites!I$8,'PM Protocol'!$E$10:$Z$10,"="&amp;Composites!I$9)</f>
        <v>3.668059612448568E-6</v>
      </c>
      <c r="J78" s="284">
        <f t="shared" si="12"/>
        <v>3.0084282683339283E-6</v>
      </c>
      <c r="K78" s="284">
        <f t="shared" si="13"/>
        <v>4.9824772929244032E-7</v>
      </c>
      <c r="L78" s="284">
        <f t="shared" si="14"/>
        <v>1.5405850372283986E-6</v>
      </c>
      <c r="M78" s="284">
        <f t="shared" si="15"/>
        <v>3.1121671741385468E-6</v>
      </c>
      <c r="N78" s="284">
        <f t="shared" si="16"/>
        <v>5.9860942169946208E-7</v>
      </c>
      <c r="O78" s="286">
        <f t="shared" si="17"/>
        <v>2.0564729181141308E-6</v>
      </c>
    </row>
    <row r="79" spans="1:15">
      <c r="A79" s="263">
        <v>347</v>
      </c>
      <c r="B79" s="294" t="str">
        <f>VLOOKUP(A79,'PM Protocol'!$A$12:$B$104,2,FALSE)</f>
        <v>XRF</v>
      </c>
      <c r="C79" s="264" t="s">
        <v>630</v>
      </c>
      <c r="D79" s="282">
        <f>AVERAGEIFS('PM Protocol'!$E80:$Z80,'PM Protocol'!$E$9:$Z$9,"="&amp;Composites!D$8,'PM Protocol'!$E$10:$Z$10,"="&amp;Composites!D$9)</f>
        <v>7.6863057431267778E-4</v>
      </c>
      <c r="E79" s="284">
        <f>AVERAGEIFS('PM Protocol'!$E80:$Z80,'PM Protocol'!$E$9:$Z$9,"="&amp;Composites!E$8,'PM Protocol'!$E$10:$Z$10,"="&amp;Composites!E$9)</f>
        <v>0</v>
      </c>
      <c r="F79" s="284">
        <f>AVERAGEIFS('PM Protocol'!$E80:$Z80,'PM Protocol'!$E$9:$Z$9,"="&amp;Composites!F$8,'PM Protocol'!$E$10:$Z$10,"="&amp;Composites!F$9)</f>
        <v>4.3487400744240858E-4</v>
      </c>
      <c r="G79" s="284">
        <f>AVERAGEIFS('PM Protocol'!$E80:$Z80,'PM Protocol'!$E$9:$Z$9,"="&amp;Composites!G$8,'PM Protocol'!$E$10:$Z$10,"="&amp;Composites!G$9)</f>
        <v>2.3989410883013584E-5</v>
      </c>
      <c r="H79" s="284">
        <f>AVERAGEIFS('PM Protocol'!$E80:$Z80,'PM Protocol'!$E$9:$Z$9,"="&amp;Composites!H$8,'PM Protocol'!$E$10:$Z$10,"="&amp;Composites!H$9)</f>
        <v>1.315969525709451E-4</v>
      </c>
      <c r="I79" s="284">
        <f>AVERAGEIFS('PM Protocol'!$E80:$Z80,'PM Protocol'!$E$9:$Z$9,"="&amp;Composites!I$8,'PM Protocol'!$E$10:$Z$10,"="&amp;Composites!I$9)</f>
        <v>0</v>
      </c>
      <c r="J79" s="284">
        <f t="shared" si="12"/>
        <v>4.4580573310135308E-4</v>
      </c>
      <c r="K79" s="284">
        <f t="shared" si="13"/>
        <v>2.6230247688746269E-4</v>
      </c>
      <c r="L79" s="284">
        <f t="shared" si="14"/>
        <v>7.632623249114816E-5</v>
      </c>
      <c r="M79" s="284">
        <f t="shared" si="15"/>
        <v>6.1996409482099684E-4</v>
      </c>
      <c r="N79" s="284">
        <f t="shared" si="16"/>
        <v>8.3962938090547533E-6</v>
      </c>
      <c r="O79" s="286">
        <f t="shared" si="17"/>
        <v>3.6310561839598114E-4</v>
      </c>
    </row>
    <row r="80" spans="1:15">
      <c r="A80" s="263">
        <v>379</v>
      </c>
      <c r="B80" s="294" t="str">
        <f>VLOOKUP(A80,'PM Protocol'!$A$12:$B$104,2,FALSE)</f>
        <v>XRF</v>
      </c>
      <c r="C80" s="264" t="s">
        <v>633</v>
      </c>
      <c r="D80" s="282">
        <f>AVERAGEIFS('PM Protocol'!$E81:$Z81,'PM Protocol'!$E$9:$Z$9,"="&amp;Composites!D$8,'PM Protocol'!$E$10:$Z$10,"="&amp;Composites!D$9)</f>
        <v>0</v>
      </c>
      <c r="E80" s="284">
        <f>AVERAGEIFS('PM Protocol'!$E81:$Z81,'PM Protocol'!$E$9:$Z$9,"="&amp;Composites!E$8,'PM Protocol'!$E$10:$Z$10,"="&amp;Composites!E$9)</f>
        <v>0</v>
      </c>
      <c r="F80" s="284">
        <f>AVERAGEIFS('PM Protocol'!$E81:$Z81,'PM Protocol'!$E$9:$Z$9,"="&amp;Composites!F$8,'PM Protocol'!$E$10:$Z$10,"="&amp;Composites!F$9)</f>
        <v>0</v>
      </c>
      <c r="G80" s="284">
        <f>AVERAGEIFS('PM Protocol'!$E81:$Z81,'PM Protocol'!$E$9:$Z$9,"="&amp;Composites!G$8,'PM Protocol'!$E$10:$Z$10,"="&amp;Composites!G$9)</f>
        <v>0</v>
      </c>
      <c r="H80" s="284">
        <f>AVERAGEIFS('PM Protocol'!$E81:$Z81,'PM Protocol'!$E$9:$Z$9,"="&amp;Composites!H$8,'PM Protocol'!$E$10:$Z$10,"="&amp;Composites!H$9)</f>
        <v>2.2807664442884898E-6</v>
      </c>
      <c r="I80" s="284">
        <f>AVERAGEIFS('PM Protocol'!$E81:$Z81,'PM Protocol'!$E$9:$Z$9,"="&amp;Composites!I$8,'PM Protocol'!$E$10:$Z$10,"="&amp;Composites!I$9)</f>
        <v>2.0531399366932964E-6</v>
      </c>
      <c r="J80" s="284">
        <f t="shared" si="12"/>
        <v>0</v>
      </c>
      <c r="K80" s="284">
        <f t="shared" si="13"/>
        <v>0</v>
      </c>
      <c r="L80" s="284">
        <f t="shared" si="14"/>
        <v>2.1851633110985085E-6</v>
      </c>
      <c r="M80" s="284">
        <f t="shared" si="15"/>
        <v>1.1403832221442449E-7</v>
      </c>
      <c r="N80" s="284">
        <f t="shared" si="16"/>
        <v>1.0265699683466483E-7</v>
      </c>
      <c r="O80" s="286">
        <f t="shared" si="17"/>
        <v>1.0925816555492543E-7</v>
      </c>
    </row>
    <row r="81" spans="1:15">
      <c r="A81" s="263">
        <v>612</v>
      </c>
      <c r="B81" s="294" t="str">
        <f>VLOOKUP(A81,'PM Protocol'!$A$12:$B$104,2,FALSE)</f>
        <v>XRF</v>
      </c>
      <c r="C81" s="264" t="s">
        <v>634</v>
      </c>
      <c r="D81" s="282">
        <f>AVERAGEIFS('PM Protocol'!$E82:$Z82,'PM Protocol'!$E$9:$Z$9,"="&amp;Composites!D$8,'PM Protocol'!$E$10:$Z$10,"="&amp;Composites!D$9)</f>
        <v>0</v>
      </c>
      <c r="E81" s="284">
        <f>AVERAGEIFS('PM Protocol'!$E82:$Z82,'PM Protocol'!$E$9:$Z$9,"="&amp;Composites!E$8,'PM Protocol'!$E$10:$Z$10,"="&amp;Composites!E$9)</f>
        <v>0</v>
      </c>
      <c r="F81" s="284">
        <f>AVERAGEIFS('PM Protocol'!$E82:$Z82,'PM Protocol'!$E$9:$Z$9,"="&amp;Composites!F$8,'PM Protocol'!$E$10:$Z$10,"="&amp;Composites!F$9)</f>
        <v>0</v>
      </c>
      <c r="G81" s="284">
        <f>AVERAGEIFS('PM Protocol'!$E82:$Z82,'PM Protocol'!$E$9:$Z$9,"="&amp;Composites!G$8,'PM Protocol'!$E$10:$Z$10,"="&amp;Composites!G$9)</f>
        <v>3.6982798257901802E-7</v>
      </c>
      <c r="H81" s="284">
        <f>AVERAGEIFS('PM Protocol'!$E82:$Z82,'PM Protocol'!$E$9:$Z$9,"="&amp;Composites!H$8,'PM Protocol'!$E$10:$Z$10,"="&amp;Composites!H$9)</f>
        <v>2.2891564190529627E-5</v>
      </c>
      <c r="I81" s="284">
        <f>AVERAGEIFS('PM Protocol'!$E82:$Z82,'PM Protocol'!$E$9:$Z$9,"="&amp;Composites!I$8,'PM Protocol'!$E$10:$Z$10,"="&amp;Composites!I$9)</f>
        <v>5.892972628916352E-7</v>
      </c>
      <c r="J81" s="284">
        <f t="shared" si="12"/>
        <v>0</v>
      </c>
      <c r="K81" s="284">
        <f t="shared" si="13"/>
        <v>1.5532775268318755E-7</v>
      </c>
      <c r="L81" s="284">
        <f t="shared" si="14"/>
        <v>1.3524612080921671E-5</v>
      </c>
      <c r="M81" s="284">
        <f t="shared" si="15"/>
        <v>1.1445782095264814E-6</v>
      </c>
      <c r="N81" s="284">
        <f t="shared" si="16"/>
        <v>1.5890465704723805E-7</v>
      </c>
      <c r="O81" s="286">
        <f t="shared" si="17"/>
        <v>7.3059531748519921E-7</v>
      </c>
    </row>
    <row r="82" spans="1:15">
      <c r="A82" s="263">
        <v>380</v>
      </c>
      <c r="B82" s="294" t="str">
        <f>VLOOKUP(A82,'PM Protocol'!$A$12:$B$104,2,FALSE)</f>
        <v>XRF</v>
      </c>
      <c r="C82" s="264" t="s">
        <v>635</v>
      </c>
      <c r="D82" s="282">
        <f>AVERAGEIFS('PM Protocol'!$E83:$Z83,'PM Protocol'!$E$9:$Z$9,"="&amp;Composites!D$8,'PM Protocol'!$E$10:$Z$10,"="&amp;Composites!D$9)</f>
        <v>9.8837783873823936E-6</v>
      </c>
      <c r="E82" s="284">
        <f>AVERAGEIFS('PM Protocol'!$E83:$Z83,'PM Protocol'!$E$9:$Z$9,"="&amp;Composites!E$8,'PM Protocol'!$E$10:$Z$10,"="&amp;Composites!E$9)</f>
        <v>4.0039390514520854E-6</v>
      </c>
      <c r="F82" s="284">
        <f>AVERAGEIFS('PM Protocol'!$E83:$Z83,'PM Protocol'!$E$9:$Z$9,"="&amp;Composites!F$8,'PM Protocol'!$E$10:$Z$10,"="&amp;Composites!F$9)</f>
        <v>1.0813553884438348E-5</v>
      </c>
      <c r="G82" s="284">
        <f>AVERAGEIFS('PM Protocol'!$E83:$Z83,'PM Protocol'!$E$9:$Z$9,"="&amp;Composites!G$8,'PM Protocol'!$E$10:$Z$10,"="&amp;Composites!G$9)</f>
        <v>0</v>
      </c>
      <c r="H82" s="284">
        <f>AVERAGEIFS('PM Protocol'!$E83:$Z83,'PM Protocol'!$E$9:$Z$9,"="&amp;Composites!H$8,'PM Protocol'!$E$10:$Z$10,"="&amp;Composites!H$9)</f>
        <v>9.1685486835823865E-7</v>
      </c>
      <c r="I82" s="284">
        <f>AVERAGEIFS('PM Protocol'!$E83:$Z83,'PM Protocol'!$E$9:$Z$9,"="&amp;Composites!I$8,'PM Protocol'!$E$10:$Z$10,"="&amp;Composites!I$9)</f>
        <v>1.1207363083977031E-6</v>
      </c>
      <c r="J82" s="284">
        <f t="shared" si="12"/>
        <v>7.4142458662916642E-6</v>
      </c>
      <c r="K82" s="284">
        <f t="shared" si="13"/>
        <v>6.2718612529742417E-6</v>
      </c>
      <c r="L82" s="284">
        <f t="shared" si="14"/>
        <v>1.0024850731748137E-6</v>
      </c>
      <c r="M82" s="284">
        <f t="shared" si="15"/>
        <v>9.7608536354007707E-6</v>
      </c>
      <c r="N82" s="284">
        <f t="shared" si="16"/>
        <v>2.4584002462911361E-6</v>
      </c>
      <c r="O82" s="286">
        <f t="shared" si="17"/>
        <v>6.6938232119747238E-6</v>
      </c>
    </row>
    <row r="83" spans="1:15">
      <c r="A83" s="263">
        <v>778</v>
      </c>
      <c r="B83" s="294" t="str">
        <f>VLOOKUP(A83,'PM Protocol'!$A$12:$B$104,2,FALSE)</f>
        <v>XRF</v>
      </c>
      <c r="C83" s="264" t="s">
        <v>636</v>
      </c>
      <c r="D83" s="282">
        <f>AVERAGEIFS('PM Protocol'!$E84:$Z84,'PM Protocol'!$E$9:$Z$9,"="&amp;Composites!D$8,'PM Protocol'!$E$10:$Z$10,"="&amp;Composites!D$9)</f>
        <v>1.2476789650340402E-3</v>
      </c>
      <c r="E83" s="284">
        <f>AVERAGEIFS('PM Protocol'!$E84:$Z84,'PM Protocol'!$E$9:$Z$9,"="&amp;Composites!E$8,'PM Protocol'!$E$10:$Z$10,"="&amp;Composites!E$9)</f>
        <v>2.1165040306349599E-4</v>
      </c>
      <c r="F83" s="284">
        <f>AVERAGEIFS('PM Protocol'!$E84:$Z84,'PM Protocol'!$E$9:$Z$9,"="&amp;Composites!F$8,'PM Protocol'!$E$10:$Z$10,"="&amp;Composites!F$9)</f>
        <v>3.0278786356317433E-3</v>
      </c>
      <c r="G83" s="284">
        <f>AVERAGEIFS('PM Protocol'!$E84:$Z84,'PM Protocol'!$E$9:$Z$9,"="&amp;Composites!G$8,'PM Protocol'!$E$10:$Z$10,"="&amp;Composites!G$9)</f>
        <v>5.1942818303785294E-4</v>
      </c>
      <c r="H83" s="284">
        <f>AVERAGEIFS('PM Protocol'!$E84:$Z84,'PM Protocol'!$E$9:$Z$9,"="&amp;Composites!H$8,'PM Protocol'!$E$10:$Z$10,"="&amp;Composites!H$9)</f>
        <v>6.0509185723633366E-4</v>
      </c>
      <c r="I83" s="284">
        <f>AVERAGEIFS('PM Protocol'!$E84:$Z84,'PM Protocol'!$E$9:$Z$9,"="&amp;Composites!I$8,'PM Protocol'!$E$10:$Z$10,"="&amp;Composites!I$9)</f>
        <v>2.4649784754164492E-4</v>
      </c>
      <c r="J83" s="284">
        <f t="shared" si="12"/>
        <v>8.125469690064115E-4</v>
      </c>
      <c r="K83" s="284">
        <f t="shared" si="13"/>
        <v>1.9743294455423091E-3</v>
      </c>
      <c r="L83" s="284">
        <f t="shared" si="14"/>
        <v>4.5448237316456433E-4</v>
      </c>
      <c r="M83" s="284">
        <f t="shared" si="15"/>
        <v>1.8386194943533509E-3</v>
      </c>
      <c r="N83" s="284">
        <f t="shared" si="16"/>
        <v>3.2111499827842835E-4</v>
      </c>
      <c r="O83" s="286">
        <f t="shared" si="17"/>
        <v>1.2012676060018832E-3</v>
      </c>
    </row>
    <row r="84" spans="1:15">
      <c r="A84" s="263">
        <v>468</v>
      </c>
      <c r="B84" s="294" t="str">
        <f>VLOOKUP(A84,'PM Protocol'!$A$12:$B$104,2,FALSE)</f>
        <v>XRF</v>
      </c>
      <c r="C84" s="264" t="s">
        <v>637</v>
      </c>
      <c r="D84" s="282">
        <f>AVERAGEIFS('PM Protocol'!$E85:$Z85,'PM Protocol'!$E$9:$Z$9,"="&amp;Composites!D$8,'PM Protocol'!$E$10:$Z$10,"="&amp;Composites!D$9)</f>
        <v>0</v>
      </c>
      <c r="E84" s="284">
        <f>AVERAGEIFS('PM Protocol'!$E85:$Z85,'PM Protocol'!$E$9:$Z$9,"="&amp;Composites!E$8,'PM Protocol'!$E$10:$Z$10,"="&amp;Composites!E$9)</f>
        <v>0</v>
      </c>
      <c r="F84" s="284">
        <f>AVERAGEIFS('PM Protocol'!$E85:$Z85,'PM Protocol'!$E$9:$Z$9,"="&amp;Composites!F$8,'PM Protocol'!$E$10:$Z$10,"="&amp;Composites!F$9)</f>
        <v>0</v>
      </c>
      <c r="G84" s="284">
        <f>AVERAGEIFS('PM Protocol'!$E85:$Z85,'PM Protocol'!$E$9:$Z$9,"="&amp;Composites!G$8,'PM Protocol'!$E$10:$Z$10,"="&amp;Composites!G$9)</f>
        <v>0</v>
      </c>
      <c r="H84" s="284">
        <f>AVERAGEIFS('PM Protocol'!$E85:$Z85,'PM Protocol'!$E$9:$Z$9,"="&amp;Composites!H$8,'PM Protocol'!$E$10:$Z$10,"="&amp;Composites!H$9)</f>
        <v>8.0775129528775906E-7</v>
      </c>
      <c r="I84" s="284">
        <f>AVERAGEIFS('PM Protocol'!$E85:$Z85,'PM Protocol'!$E$9:$Z$9,"="&amp;Composites!I$8,'PM Protocol'!$E$10:$Z$10,"="&amp;Composites!I$9)</f>
        <v>6.3999627734229116E-7</v>
      </c>
      <c r="J84" s="284">
        <f t="shared" si="12"/>
        <v>0</v>
      </c>
      <c r="K84" s="284">
        <f t="shared" si="13"/>
        <v>0</v>
      </c>
      <c r="L84" s="284">
        <f t="shared" si="14"/>
        <v>7.3729418775066252E-7</v>
      </c>
      <c r="M84" s="284">
        <f t="shared" si="15"/>
        <v>4.0387564764387953E-8</v>
      </c>
      <c r="N84" s="284">
        <f t="shared" si="16"/>
        <v>3.1999813867114562E-8</v>
      </c>
      <c r="O84" s="286">
        <f t="shared" si="17"/>
        <v>3.6864709387533127E-8</v>
      </c>
    </row>
    <row r="85" spans="1:15">
      <c r="A85" s="263">
        <v>298</v>
      </c>
      <c r="B85" s="294" t="str">
        <f>VLOOKUP(A85,'PM Protocol'!$A$12:$B$104,2,FALSE)</f>
        <v>XRF</v>
      </c>
      <c r="C85" s="264" t="s">
        <v>639</v>
      </c>
      <c r="D85" s="282">
        <f>AVERAGEIFS('PM Protocol'!$E86:$Z86,'PM Protocol'!$E$9:$Z$9,"="&amp;Composites!D$8,'PM Protocol'!$E$10:$Z$10,"="&amp;Composites!D$9)</f>
        <v>0</v>
      </c>
      <c r="E85" s="284">
        <f>AVERAGEIFS('PM Protocol'!$E86:$Z86,'PM Protocol'!$E$9:$Z$9,"="&amp;Composites!E$8,'PM Protocol'!$E$10:$Z$10,"="&amp;Composites!E$9)</f>
        <v>0</v>
      </c>
      <c r="F85" s="284">
        <f>AVERAGEIFS('PM Protocol'!$E86:$Z86,'PM Protocol'!$E$9:$Z$9,"="&amp;Composites!F$8,'PM Protocol'!$E$10:$Z$10,"="&amp;Composites!F$9)</f>
        <v>0</v>
      </c>
      <c r="G85" s="284">
        <f>AVERAGEIFS('PM Protocol'!$E86:$Z86,'PM Protocol'!$E$9:$Z$9,"="&amp;Composites!G$8,'PM Protocol'!$E$10:$Z$10,"="&amp;Composites!G$9)</f>
        <v>0</v>
      </c>
      <c r="H85" s="284">
        <f>AVERAGEIFS('PM Protocol'!$E86:$Z86,'PM Protocol'!$E$9:$Z$9,"="&amp;Composites!H$8,'PM Protocol'!$E$10:$Z$10,"="&amp;Composites!H$9)</f>
        <v>9.9211504382612694E-7</v>
      </c>
      <c r="I85" s="284">
        <f>AVERAGEIFS('PM Protocol'!$E86:$Z86,'PM Protocol'!$E$9:$Z$9,"="&amp;Composites!I$8,'PM Protocol'!$E$10:$Z$10,"="&amp;Composites!I$9)</f>
        <v>1.2727613254941227E-6</v>
      </c>
      <c r="J85" s="284">
        <f t="shared" si="12"/>
        <v>0</v>
      </c>
      <c r="K85" s="284">
        <f t="shared" si="13"/>
        <v>0</v>
      </c>
      <c r="L85" s="284">
        <f t="shared" si="14"/>
        <v>1.1099864821266851E-6</v>
      </c>
      <c r="M85" s="284">
        <f t="shared" si="15"/>
        <v>4.960575219130635E-8</v>
      </c>
      <c r="N85" s="284">
        <f t="shared" si="16"/>
        <v>6.3638066274706144E-8</v>
      </c>
      <c r="O85" s="286">
        <f t="shared" si="17"/>
        <v>5.5499324106334263E-8</v>
      </c>
    </row>
    <row r="86" spans="1:15">
      <c r="A86" s="263">
        <v>693</v>
      </c>
      <c r="B86" s="294" t="str">
        <f>VLOOKUP(A86,'PM Protocol'!$A$12:$B$104,2,FALSE)</f>
        <v>XRF</v>
      </c>
      <c r="C86" s="264" t="s">
        <v>640</v>
      </c>
      <c r="D86" s="282">
        <f>AVERAGEIFS('PM Protocol'!$E87:$Z87,'PM Protocol'!$E$9:$Z$9,"="&amp;Composites!D$8,'PM Protocol'!$E$10:$Z$10,"="&amp;Composites!D$9)</f>
        <v>1.6184579125347154E-5</v>
      </c>
      <c r="E86" s="284">
        <f>AVERAGEIFS('PM Protocol'!$E87:$Z87,'PM Protocol'!$E$9:$Z$9,"="&amp;Composites!E$8,'PM Protocol'!$E$10:$Z$10,"="&amp;Composites!E$9)</f>
        <v>1.526975860622792E-6</v>
      </c>
      <c r="F86" s="284">
        <f>AVERAGEIFS('PM Protocol'!$E87:$Z87,'PM Protocol'!$E$9:$Z$9,"="&amp;Composites!F$8,'PM Protocol'!$E$10:$Z$10,"="&amp;Composites!F$9)</f>
        <v>7.3150511571200595E-6</v>
      </c>
      <c r="G86" s="284">
        <f>AVERAGEIFS('PM Protocol'!$E87:$Z87,'PM Protocol'!$E$9:$Z$9,"="&amp;Composites!G$8,'PM Protocol'!$E$10:$Z$10,"="&amp;Composites!G$9)</f>
        <v>4.8877989707603403E-7</v>
      </c>
      <c r="H86" s="284">
        <f>AVERAGEIFS('PM Protocol'!$E87:$Z87,'PM Protocol'!$E$9:$Z$9,"="&amp;Composites!H$8,'PM Protocol'!$E$10:$Z$10,"="&amp;Composites!H$9)</f>
        <v>2.6527447472311551E-6</v>
      </c>
      <c r="I86" s="284">
        <f>AVERAGEIFS('PM Protocol'!$E87:$Z87,'PM Protocol'!$E$9:$Z$9,"="&amp;Composites!I$8,'PM Protocol'!$E$10:$Z$10,"="&amp;Composites!I$9)</f>
        <v>1.6438214579253109E-6</v>
      </c>
      <c r="J86" s="284">
        <f t="shared" si="12"/>
        <v>1.0028385754162921E-5</v>
      </c>
      <c r="K86" s="284">
        <f t="shared" si="13"/>
        <v>4.4480172279015678E-6</v>
      </c>
      <c r="L86" s="284">
        <f t="shared" si="14"/>
        <v>2.2289969657227004E-6</v>
      </c>
      <c r="M86" s="284">
        <f t="shared" si="15"/>
        <v>1.2403652617561871E-5</v>
      </c>
      <c r="N86" s="284">
        <f t="shared" si="16"/>
        <v>1.1694495532465525E-6</v>
      </c>
      <c r="O86" s="286">
        <f t="shared" si="17"/>
        <v>7.6852873305494376E-6</v>
      </c>
    </row>
    <row r="87" spans="1:15">
      <c r="A87" s="263">
        <v>689</v>
      </c>
      <c r="B87" s="294" t="str">
        <f>VLOOKUP(A87,'PM Protocol'!$A$12:$B$104,2,FALSE)</f>
        <v>XRF</v>
      </c>
      <c r="C87" s="264" t="s">
        <v>642</v>
      </c>
      <c r="D87" s="282">
        <f>AVERAGEIFS('PM Protocol'!$E88:$Z88,'PM Protocol'!$E$9:$Z$9,"="&amp;Composites!D$8,'PM Protocol'!$E$10:$Z$10,"="&amp;Composites!D$9)</f>
        <v>4.7087718840131705E-5</v>
      </c>
      <c r="E87" s="284">
        <f>AVERAGEIFS('PM Protocol'!$E88:$Z88,'PM Protocol'!$E$9:$Z$9,"="&amp;Composites!E$8,'PM Protocol'!$E$10:$Z$10,"="&amp;Composites!E$9)</f>
        <v>1.5310890623762325E-5</v>
      </c>
      <c r="F87" s="284">
        <f>AVERAGEIFS('PM Protocol'!$E88:$Z88,'PM Protocol'!$E$9:$Z$9,"="&amp;Composites!F$8,'PM Protocol'!$E$10:$Z$10,"="&amp;Composites!F$9)</f>
        <v>5.5425118032029916E-5</v>
      </c>
      <c r="G87" s="284">
        <f>AVERAGEIFS('PM Protocol'!$E88:$Z88,'PM Protocol'!$E$9:$Z$9,"="&amp;Composites!G$8,'PM Protocol'!$E$10:$Z$10,"="&amp;Composites!G$9)</f>
        <v>1.7464748131377904E-5</v>
      </c>
      <c r="H87" s="284">
        <f>AVERAGEIFS('PM Protocol'!$E88:$Z88,'PM Protocol'!$E$9:$Z$9,"="&amp;Composites!H$8,'PM Protocol'!$E$10:$Z$10,"="&amp;Composites!H$9)</f>
        <v>1.7554928474323823E-6</v>
      </c>
      <c r="I87" s="284">
        <f>AVERAGEIFS('PM Protocol'!$E88:$Z88,'PM Protocol'!$E$9:$Z$9,"="&amp;Composites!I$8,'PM Protocol'!$E$10:$Z$10,"="&amp;Composites!I$9)</f>
        <v>3.0486989748169688E-6</v>
      </c>
      <c r="J87" s="284">
        <f t="shared" si="12"/>
        <v>3.3741450989256561E-5</v>
      </c>
      <c r="K87" s="284">
        <f t="shared" si="13"/>
        <v>3.9481762673756069E-5</v>
      </c>
      <c r="L87" s="284">
        <f t="shared" si="14"/>
        <v>2.2986394209339086E-6</v>
      </c>
      <c r="M87" s="284">
        <f t="shared" si="15"/>
        <v>4.7739197257661111E-5</v>
      </c>
      <c r="N87" s="284">
        <f t="shared" si="16"/>
        <v>1.5451631168980509E-5</v>
      </c>
      <c r="O87" s="286">
        <f t="shared" si="17"/>
        <v>3.4178419500415257E-5</v>
      </c>
    </row>
    <row r="88" spans="1:15">
      <c r="A88" s="263">
        <v>697</v>
      </c>
      <c r="B88" s="294" t="str">
        <f>VLOOKUP(A88,'PM Protocol'!$A$12:$B$104,2,FALSE)</f>
        <v>XRF</v>
      </c>
      <c r="C88" s="264" t="s">
        <v>643</v>
      </c>
      <c r="D88" s="282">
        <f>AVERAGEIFS('PM Protocol'!$E89:$Z89,'PM Protocol'!$E$9:$Z$9,"="&amp;Composites!D$8,'PM Protocol'!$E$10:$Z$10,"="&amp;Composites!D$9)</f>
        <v>0</v>
      </c>
      <c r="E88" s="284">
        <f>AVERAGEIFS('PM Protocol'!$E89:$Z89,'PM Protocol'!$E$9:$Z$9,"="&amp;Composites!E$8,'PM Protocol'!$E$10:$Z$10,"="&amp;Composites!E$9)</f>
        <v>3.7380648283831326E-6</v>
      </c>
      <c r="F88" s="284">
        <f>AVERAGEIFS('PM Protocol'!$E89:$Z89,'PM Protocol'!$E$9:$Z$9,"="&amp;Composites!F$8,'PM Protocol'!$E$10:$Z$10,"="&amp;Composites!F$9)</f>
        <v>0</v>
      </c>
      <c r="G88" s="284">
        <f>AVERAGEIFS('PM Protocol'!$E89:$Z89,'PM Protocol'!$E$9:$Z$9,"="&amp;Composites!G$8,'PM Protocol'!$E$10:$Z$10,"="&amp;Composites!G$9)</f>
        <v>8.6624746561223158E-7</v>
      </c>
      <c r="H88" s="284">
        <f>AVERAGEIFS('PM Protocol'!$E89:$Z89,'PM Protocol'!$E$9:$Z$9,"="&amp;Composites!H$8,'PM Protocol'!$E$10:$Z$10,"="&amp;Composites!H$9)</f>
        <v>0</v>
      </c>
      <c r="I88" s="284">
        <f>AVERAGEIFS('PM Protocol'!$E89:$Z89,'PM Protocol'!$E$9:$Z$9,"="&amp;Composites!I$8,'PM Protocol'!$E$10:$Z$10,"="&amp;Composites!I$9)</f>
        <v>2.5288699432053326E-6</v>
      </c>
      <c r="J88" s="284">
        <f t="shared" si="12"/>
        <v>1.5699872279209155E-6</v>
      </c>
      <c r="K88" s="284">
        <f t="shared" si="13"/>
        <v>3.6382393555713726E-7</v>
      </c>
      <c r="L88" s="284">
        <f t="shared" si="14"/>
        <v>1.0621253761462397E-6</v>
      </c>
      <c r="M88" s="284">
        <f t="shared" si="15"/>
        <v>0</v>
      </c>
      <c r="N88" s="284">
        <f t="shared" si="16"/>
        <v>2.672469007154427E-6</v>
      </c>
      <c r="O88" s="286">
        <f t="shared" si="17"/>
        <v>1.1224369830048593E-6</v>
      </c>
    </row>
    <row r="89" spans="1:15">
      <c r="A89" s="263">
        <v>779</v>
      </c>
      <c r="B89" s="294" t="str">
        <f>VLOOKUP(A89,'PM Protocol'!$A$12:$B$104,2,FALSE)</f>
        <v>XRF</v>
      </c>
      <c r="C89" s="264" t="s">
        <v>645</v>
      </c>
      <c r="D89" s="282">
        <f>AVERAGEIFS('PM Protocol'!$E90:$Z90,'PM Protocol'!$E$9:$Z$9,"="&amp;Composites!D$8,'PM Protocol'!$E$10:$Z$10,"="&amp;Composites!D$9)</f>
        <v>2.3589584303091632E-6</v>
      </c>
      <c r="E89" s="284">
        <f>AVERAGEIFS('PM Protocol'!$E90:$Z90,'PM Protocol'!$E$9:$Z$9,"="&amp;Composites!E$8,'PM Protocol'!$E$10:$Z$10,"="&amp;Composites!E$9)</f>
        <v>1.0900828642079843E-6</v>
      </c>
      <c r="F89" s="284">
        <f>AVERAGEIFS('PM Protocol'!$E90:$Z90,'PM Protocol'!$E$9:$Z$9,"="&amp;Composites!F$8,'PM Protocol'!$E$10:$Z$10,"="&amp;Composites!F$9)</f>
        <v>0</v>
      </c>
      <c r="G89" s="284">
        <f>AVERAGEIFS('PM Protocol'!$E90:$Z90,'PM Protocol'!$E$9:$Z$9,"="&amp;Composites!G$8,'PM Protocol'!$E$10:$Z$10,"="&amp;Composites!G$9)</f>
        <v>4.7452164694518127E-6</v>
      </c>
      <c r="H89" s="284">
        <f>AVERAGEIFS('PM Protocol'!$E90:$Z90,'PM Protocol'!$E$9:$Z$9,"="&amp;Composites!H$8,'PM Protocol'!$E$10:$Z$10,"="&amp;Composites!H$9)</f>
        <v>1.0831446690514664E-5</v>
      </c>
      <c r="I89" s="284">
        <f>AVERAGEIFS('PM Protocol'!$E90:$Z90,'PM Protocol'!$E$9:$Z$9,"="&amp;Composites!I$8,'PM Protocol'!$E$10:$Z$10,"="&amp;Composites!I$9)</f>
        <v>7.1103279277283023E-6</v>
      </c>
      <c r="J89" s="284">
        <f t="shared" si="12"/>
        <v>1.826030692546668E-6</v>
      </c>
      <c r="K89" s="284">
        <f t="shared" si="13"/>
        <v>1.9929909171697613E-6</v>
      </c>
      <c r="L89" s="284">
        <f t="shared" si="14"/>
        <v>9.2685768101443903E-6</v>
      </c>
      <c r="M89" s="284">
        <f t="shared" si="15"/>
        <v>1.9569473927112309E-6</v>
      </c>
      <c r="N89" s="284">
        <f t="shared" si="16"/>
        <v>2.6703918792193402E-6</v>
      </c>
      <c r="O89" s="286">
        <f t="shared" si="17"/>
        <v>2.2565940770446367E-6</v>
      </c>
    </row>
    <row r="90" spans="1:15">
      <c r="A90" s="263">
        <v>586</v>
      </c>
      <c r="B90" s="294" t="str">
        <f>VLOOKUP(A90,'PM Protocol'!$A$12:$B$104,2,FALSE)</f>
        <v>XRF</v>
      </c>
      <c r="C90" s="264" t="s">
        <v>646</v>
      </c>
      <c r="D90" s="282">
        <f>AVERAGEIFS('PM Protocol'!$E91:$Z91,'PM Protocol'!$E$9:$Z$9,"="&amp;Composites!D$8,'PM Protocol'!$E$10:$Z$10,"="&amp;Composites!D$9)</f>
        <v>1.2009242917937557E-5</v>
      </c>
      <c r="E90" s="284">
        <f>AVERAGEIFS('PM Protocol'!$E91:$Z91,'PM Protocol'!$E$9:$Z$9,"="&amp;Composites!E$8,'PM Protocol'!$E$10:$Z$10,"="&amp;Composites!E$9)</f>
        <v>0</v>
      </c>
      <c r="F90" s="284">
        <f>AVERAGEIFS('PM Protocol'!$E91:$Z91,'PM Protocol'!$E$9:$Z$9,"="&amp;Composites!F$8,'PM Protocol'!$E$10:$Z$10,"="&amp;Composites!F$9)</f>
        <v>0</v>
      </c>
      <c r="G90" s="284">
        <f>AVERAGEIFS('PM Protocol'!$E91:$Z91,'PM Protocol'!$E$9:$Z$9,"="&amp;Composites!G$8,'PM Protocol'!$E$10:$Z$10,"="&amp;Composites!G$9)</f>
        <v>0</v>
      </c>
      <c r="H90" s="284">
        <f>AVERAGEIFS('PM Protocol'!$E91:$Z91,'PM Protocol'!$E$9:$Z$9,"="&amp;Composites!H$8,'PM Protocol'!$E$10:$Z$10,"="&amp;Composites!H$9)</f>
        <v>1.5810309287081182E-6</v>
      </c>
      <c r="I90" s="284">
        <f>AVERAGEIFS('PM Protocol'!$E91:$Z91,'PM Protocol'!$E$9:$Z$9,"="&amp;Composites!I$8,'PM Protocol'!$E$10:$Z$10,"="&amp;Composites!I$9)</f>
        <v>2.8248961719287416E-6</v>
      </c>
      <c r="J90" s="284">
        <f t="shared" si="12"/>
        <v>6.9653608924037826E-6</v>
      </c>
      <c r="K90" s="284">
        <f t="shared" si="13"/>
        <v>0</v>
      </c>
      <c r="L90" s="284">
        <f t="shared" si="14"/>
        <v>2.1034543308607799E-6</v>
      </c>
      <c r="M90" s="284">
        <f t="shared" si="15"/>
        <v>7.2845972971979401E-6</v>
      </c>
      <c r="N90" s="284">
        <f t="shared" si="16"/>
        <v>1.412448085964371E-7</v>
      </c>
      <c r="O90" s="286">
        <f t="shared" si="17"/>
        <v>4.2843892519853086E-6</v>
      </c>
    </row>
    <row r="91" spans="1:15">
      <c r="A91" s="263">
        <v>649</v>
      </c>
      <c r="B91" s="294" t="str">
        <f>VLOOKUP(A91,'PM Protocol'!$A$12:$B$104,2,FALSE)</f>
        <v>XRF</v>
      </c>
      <c r="C91" s="264" t="s">
        <v>647</v>
      </c>
      <c r="D91" s="282">
        <f>AVERAGEIFS('PM Protocol'!$E92:$Z92,'PM Protocol'!$E$9:$Z$9,"="&amp;Composites!D$8,'PM Protocol'!$E$10:$Z$10,"="&amp;Composites!D$9)</f>
        <v>0</v>
      </c>
      <c r="E91" s="284">
        <f>AVERAGEIFS('PM Protocol'!$E92:$Z92,'PM Protocol'!$E$9:$Z$9,"="&amp;Composites!E$8,'PM Protocol'!$E$10:$Z$10,"="&amp;Composites!E$9)</f>
        <v>4.7779868259886151E-6</v>
      </c>
      <c r="F91" s="284">
        <f>AVERAGEIFS('PM Protocol'!$E92:$Z92,'PM Protocol'!$E$9:$Z$9,"="&amp;Composites!F$8,'PM Protocol'!$E$10:$Z$10,"="&amp;Composites!F$9)</f>
        <v>0</v>
      </c>
      <c r="G91" s="284">
        <f>AVERAGEIFS('PM Protocol'!$E92:$Z92,'PM Protocol'!$E$9:$Z$9,"="&amp;Composites!G$8,'PM Protocol'!$E$10:$Z$10,"="&amp;Composites!G$9)</f>
        <v>1.4904357513607116E-5</v>
      </c>
      <c r="H91" s="284">
        <f>AVERAGEIFS('PM Protocol'!$E92:$Z92,'PM Protocol'!$E$9:$Z$9,"="&amp;Composites!H$8,'PM Protocol'!$E$10:$Z$10,"="&amp;Composites!H$9)</f>
        <v>2.1307454100091447E-5</v>
      </c>
      <c r="I91" s="284">
        <f>AVERAGEIFS('PM Protocol'!$E92:$Z92,'PM Protocol'!$E$9:$Z$9,"="&amp;Composites!I$8,'PM Protocol'!$E$10:$Z$10,"="&amp;Composites!I$9)</f>
        <v>7.2825630877331477E-6</v>
      </c>
      <c r="J91" s="284">
        <f t="shared" si="12"/>
        <v>2.0067544669152185E-6</v>
      </c>
      <c r="K91" s="284">
        <f t="shared" si="13"/>
        <v>6.259830155714989E-6</v>
      </c>
      <c r="L91" s="284">
        <f t="shared" si="14"/>
        <v>1.541699987490096E-5</v>
      </c>
      <c r="M91" s="284">
        <f t="shared" si="15"/>
        <v>1.0653727050045725E-6</v>
      </c>
      <c r="N91" s="284">
        <f t="shared" si="16"/>
        <v>8.447445379742317E-6</v>
      </c>
      <c r="O91" s="286">
        <f t="shared" si="17"/>
        <v>4.1658432283944248E-6</v>
      </c>
    </row>
    <row r="92" spans="1:15">
      <c r="A92" s="263">
        <v>695</v>
      </c>
      <c r="B92" s="294" t="str">
        <f>VLOOKUP(A92,'PM Protocol'!$A$12:$B$104,2,FALSE)</f>
        <v>XRF</v>
      </c>
      <c r="C92" s="264" t="s">
        <v>648</v>
      </c>
      <c r="D92" s="282">
        <f>AVERAGEIFS('PM Protocol'!$E93:$Z93,'PM Protocol'!$E$9:$Z$9,"="&amp;Composites!D$8,'PM Protocol'!$E$10:$Z$10,"="&amp;Composites!D$9)</f>
        <v>8.5320034095840642E-5</v>
      </c>
      <c r="E92" s="284">
        <f>AVERAGEIFS('PM Protocol'!$E93:$Z93,'PM Protocol'!$E$9:$Z$9,"="&amp;Composites!E$8,'PM Protocol'!$E$10:$Z$10,"="&amp;Composites!E$9)</f>
        <v>2.1694786415119692E-6</v>
      </c>
      <c r="F92" s="284">
        <f>AVERAGEIFS('PM Protocol'!$E93:$Z93,'PM Protocol'!$E$9:$Z$9,"="&amp;Composites!F$8,'PM Protocol'!$E$10:$Z$10,"="&amp;Composites!F$9)</f>
        <v>0</v>
      </c>
      <c r="G92" s="284">
        <f>AVERAGEIFS('PM Protocol'!$E93:$Z93,'PM Protocol'!$E$9:$Z$9,"="&amp;Composites!G$8,'PM Protocol'!$E$10:$Z$10,"="&amp;Composites!G$9)</f>
        <v>4.3265208986178286E-6</v>
      </c>
      <c r="H92" s="284">
        <f>AVERAGEIFS('PM Protocol'!$E93:$Z93,'PM Protocol'!$E$9:$Z$9,"="&amp;Composites!H$8,'PM Protocol'!$E$10:$Z$10,"="&amp;Composites!H$9)</f>
        <v>7.0921716127694358E-6</v>
      </c>
      <c r="I92" s="284">
        <f>AVERAGEIFS('PM Protocol'!$E93:$Z93,'PM Protocol'!$E$9:$Z$9,"="&amp;Composites!I$8,'PM Protocol'!$E$10:$Z$10,"="&amp;Composites!I$9)</f>
        <v>1.3350016565923478E-5</v>
      </c>
      <c r="J92" s="284">
        <f t="shared" si="12"/>
        <v>5.0396800805022592E-5</v>
      </c>
      <c r="K92" s="284">
        <f t="shared" si="13"/>
        <v>1.8171387774194879E-6</v>
      </c>
      <c r="L92" s="284">
        <f t="shared" si="14"/>
        <v>9.7204664930941331E-6</v>
      </c>
      <c r="M92" s="284">
        <f t="shared" si="15"/>
        <v>5.1546629038142854E-5</v>
      </c>
      <c r="N92" s="284">
        <f t="shared" si="16"/>
        <v>3.4834703277195954E-6</v>
      </c>
      <c r="O92" s="286">
        <f t="shared" si="17"/>
        <v>3.1360102379765084E-5</v>
      </c>
    </row>
    <row r="93" spans="1:15">
      <c r="A93" s="263">
        <v>328</v>
      </c>
      <c r="B93" s="294" t="str">
        <f>VLOOKUP(A93,'PM Protocol'!$A$12:$B$104,2,FALSE)</f>
        <v>XRF</v>
      </c>
      <c r="C93" s="264" t="s">
        <v>649</v>
      </c>
      <c r="D93" s="282">
        <f>AVERAGEIFS('PM Protocol'!$E94:$Z94,'PM Protocol'!$E$9:$Z$9,"="&amp;Composites!D$8,'PM Protocol'!$E$10:$Z$10,"="&amp;Composites!D$9)</f>
        <v>5.0853438313917506E-5</v>
      </c>
      <c r="E93" s="284">
        <f>AVERAGEIFS('PM Protocol'!$E94:$Z94,'PM Protocol'!$E$9:$Z$9,"="&amp;Composites!E$8,'PM Protocol'!$E$10:$Z$10,"="&amp;Composites!E$9)</f>
        <v>2.4970535657705722E-5</v>
      </c>
      <c r="F93" s="284">
        <f>AVERAGEIFS('PM Protocol'!$E94:$Z94,'PM Protocol'!$E$9:$Z$9,"="&amp;Composites!F$8,'PM Protocol'!$E$10:$Z$10,"="&amp;Composites!F$9)</f>
        <v>7.2003476448752977E-5</v>
      </c>
      <c r="G93" s="284">
        <f>AVERAGEIFS('PM Protocol'!$E94:$Z94,'PM Protocol'!$E$9:$Z$9,"="&amp;Composites!G$8,'PM Protocol'!$E$10:$Z$10,"="&amp;Composites!G$9)</f>
        <v>2.0017496042278415E-5</v>
      </c>
      <c r="H93" s="284">
        <f>AVERAGEIFS('PM Protocol'!$E94:$Z94,'PM Protocol'!$E$9:$Z$9,"="&amp;Composites!H$8,'PM Protocol'!$E$10:$Z$10,"="&amp;Composites!H$9)</f>
        <v>8.6005683300366119E-5</v>
      </c>
      <c r="I93" s="284">
        <f>AVERAGEIFS('PM Protocol'!$E94:$Z94,'PM Protocol'!$E$9:$Z$9,"="&amp;Composites!I$8,'PM Protocol'!$E$10:$Z$10,"="&amp;Composites!I$9)</f>
        <v>3.7288160442485509E-5</v>
      </c>
      <c r="J93" s="284">
        <f t="shared" si="12"/>
        <v>3.9982619198308551E-5</v>
      </c>
      <c r="K93" s="284">
        <f t="shared" si="13"/>
        <v>5.0169364678033661E-5</v>
      </c>
      <c r="L93" s="284">
        <f t="shared" si="14"/>
        <v>6.5544323700056256E-5</v>
      </c>
      <c r="M93" s="284">
        <f t="shared" si="15"/>
        <v>6.001356391043235E-5</v>
      </c>
      <c r="N93" s="284">
        <f t="shared" si="16"/>
        <v>2.3852853031545152E-5</v>
      </c>
      <c r="O93" s="286">
        <f t="shared" si="17"/>
        <v>4.4826065341299721E-5</v>
      </c>
    </row>
    <row r="94" spans="1:15">
      <c r="A94" s="263">
        <v>487</v>
      </c>
      <c r="B94" s="294" t="str">
        <f>VLOOKUP(A94,'PM Protocol'!$A$12:$B$104,2,FALSE)</f>
        <v>XRF</v>
      </c>
      <c r="C94" s="264" t="s">
        <v>650</v>
      </c>
      <c r="D94" s="282">
        <f>AVERAGEIFS('PM Protocol'!$E95:$Z95,'PM Protocol'!$E$9:$Z$9,"="&amp;Composites!D$8,'PM Protocol'!$E$10:$Z$10,"="&amp;Composites!D$9)</f>
        <v>3.0969114526966897E-5</v>
      </c>
      <c r="E94" s="284">
        <f>AVERAGEIFS('PM Protocol'!$E95:$Z95,'PM Protocol'!$E$9:$Z$9,"="&amp;Composites!E$8,'PM Protocol'!$E$10:$Z$10,"="&amp;Composites!E$9)</f>
        <v>4.1034181616452624E-5</v>
      </c>
      <c r="F94" s="284">
        <f>AVERAGEIFS('PM Protocol'!$E95:$Z95,'PM Protocol'!$E$9:$Z$9,"="&amp;Composites!F$8,'PM Protocol'!$E$10:$Z$10,"="&amp;Composites!F$9)</f>
        <v>0</v>
      </c>
      <c r="G94" s="284">
        <f>AVERAGEIFS('PM Protocol'!$E95:$Z95,'PM Protocol'!$E$9:$Z$9,"="&amp;Composites!G$8,'PM Protocol'!$E$10:$Z$10,"="&amp;Composites!G$9)</f>
        <v>3.8624666409434981E-5</v>
      </c>
      <c r="H94" s="284">
        <f>AVERAGEIFS('PM Protocol'!$E95:$Z95,'PM Protocol'!$E$9:$Z$9,"="&amp;Composites!H$8,'PM Protocol'!$E$10:$Z$10,"="&amp;Composites!H$9)</f>
        <v>1.320098565281624E-4</v>
      </c>
      <c r="I94" s="284">
        <f>AVERAGEIFS('PM Protocol'!$E95:$Z95,'PM Protocol'!$E$9:$Z$9,"="&amp;Composites!I$8,'PM Protocol'!$E$10:$Z$10,"="&amp;Composites!I$9)</f>
        <v>2.4454544760225126E-5</v>
      </c>
      <c r="J94" s="284">
        <f t="shared" si="12"/>
        <v>3.5196442704550901E-5</v>
      </c>
      <c r="K94" s="284">
        <f t="shared" si="13"/>
        <v>1.6222359891962692E-5</v>
      </c>
      <c r="L94" s="284">
        <f t="shared" si="14"/>
        <v>8.6836625585628744E-5</v>
      </c>
      <c r="M94" s="284">
        <f t="shared" si="15"/>
        <v>2.5181961542588256E-5</v>
      </c>
      <c r="N94" s="284">
        <f t="shared" si="16"/>
        <v>3.9361869451185071E-5</v>
      </c>
      <c r="O94" s="286">
        <f t="shared" si="17"/>
        <v>3.1137522864198915E-5</v>
      </c>
    </row>
    <row r="95" spans="1:15">
      <c r="A95" s="263">
        <v>714</v>
      </c>
      <c r="B95" s="294" t="str">
        <f>VLOOKUP(A95,'PM Protocol'!$A$12:$B$104,2,FALSE)</f>
        <v>XRF</v>
      </c>
      <c r="C95" s="264" t="s">
        <v>651</v>
      </c>
      <c r="D95" s="282">
        <f>AVERAGEIFS('PM Protocol'!$E96:$Z96,'PM Protocol'!$E$9:$Z$9,"="&amp;Composites!D$8,'PM Protocol'!$E$10:$Z$10,"="&amp;Composites!D$9)</f>
        <v>3.6261802333314964E-5</v>
      </c>
      <c r="E95" s="284">
        <f>AVERAGEIFS('PM Protocol'!$E96:$Z96,'PM Protocol'!$E$9:$Z$9,"="&amp;Composites!E$8,'PM Protocol'!$E$10:$Z$10,"="&amp;Composites!E$9)</f>
        <v>1.6730867825067017E-5</v>
      </c>
      <c r="F95" s="284">
        <f>AVERAGEIFS('PM Protocol'!$E96:$Z96,'PM Protocol'!$E$9:$Z$9,"="&amp;Composites!F$8,'PM Protocol'!$E$10:$Z$10,"="&amp;Composites!F$9)</f>
        <v>1.5107170867965334E-4</v>
      </c>
      <c r="G95" s="284">
        <f>AVERAGEIFS('PM Protocol'!$E96:$Z96,'PM Protocol'!$E$9:$Z$9,"="&amp;Composites!G$8,'PM Protocol'!$E$10:$Z$10,"="&amp;Composites!G$9)</f>
        <v>0</v>
      </c>
      <c r="H95" s="284">
        <f>AVERAGEIFS('PM Protocol'!$E96:$Z96,'PM Protocol'!$E$9:$Z$9,"="&amp;Composites!H$8,'PM Protocol'!$E$10:$Z$10,"="&amp;Composites!H$9)</f>
        <v>1.5486658872113454E-4</v>
      </c>
      <c r="I95" s="284">
        <f>AVERAGEIFS('PM Protocol'!$E96:$Z96,'PM Protocol'!$E$9:$Z$9,"="&amp;Composites!I$8,'PM Protocol'!$E$10:$Z$10,"="&amp;Composites!I$9)</f>
        <v>3.1145167258062985E-5</v>
      </c>
      <c r="J95" s="284">
        <f t="shared" si="12"/>
        <v>2.8058809839850824E-5</v>
      </c>
      <c r="K95" s="284">
        <f t="shared" si="13"/>
        <v>8.7621591034198925E-5</v>
      </c>
      <c r="L95" s="284">
        <f t="shared" si="14"/>
        <v>1.0290359170664448E-4</v>
      </c>
      <c r="M95" s="284">
        <f t="shared" si="15"/>
        <v>8.2375508873924373E-5</v>
      </c>
      <c r="N95" s="284">
        <f t="shared" si="16"/>
        <v>1.159577905794336E-5</v>
      </c>
      <c r="O95" s="286">
        <f t="shared" si="17"/>
        <v>5.264802235121234E-5</v>
      </c>
    </row>
    <row r="96" spans="1:15">
      <c r="A96" s="263">
        <v>296</v>
      </c>
      <c r="B96" s="294" t="str">
        <f>VLOOKUP(A96,'PM Protocol'!$A$12:$B$104,2,FALSE)</f>
        <v>XRF</v>
      </c>
      <c r="C96" s="264" t="s">
        <v>652</v>
      </c>
      <c r="D96" s="282">
        <f>AVERAGEIFS('PM Protocol'!$E97:$Z97,'PM Protocol'!$E$9:$Z$9,"="&amp;Composites!D$8,'PM Protocol'!$E$10:$Z$10,"="&amp;Composites!D$9)</f>
        <v>1.379117218343748E-4</v>
      </c>
      <c r="E96" s="284">
        <f>AVERAGEIFS('PM Protocol'!$E97:$Z97,'PM Protocol'!$E$9:$Z$9,"="&amp;Composites!E$8,'PM Protocol'!$E$10:$Z$10,"="&amp;Composites!E$9)</f>
        <v>7.4902308241385381E-6</v>
      </c>
      <c r="F96" s="284">
        <f>AVERAGEIFS('PM Protocol'!$E97:$Z97,'PM Protocol'!$E$9:$Z$9,"="&amp;Composites!F$8,'PM Protocol'!$E$10:$Z$10,"="&amp;Composites!F$9)</f>
        <v>7.1878328761266642E-5</v>
      </c>
      <c r="G96" s="284">
        <f>AVERAGEIFS('PM Protocol'!$E97:$Z97,'PM Protocol'!$E$9:$Z$9,"="&amp;Composites!G$8,'PM Protocol'!$E$10:$Z$10,"="&amp;Composites!G$9)</f>
        <v>7.8854332507066881E-6</v>
      </c>
      <c r="H96" s="284">
        <f>AVERAGEIFS('PM Protocol'!$E97:$Z97,'PM Protocol'!$E$9:$Z$9,"="&amp;Composites!H$8,'PM Protocol'!$E$10:$Z$10,"="&amp;Composites!H$9)</f>
        <v>2.9381731891695289E-5</v>
      </c>
      <c r="I96" s="284">
        <f>AVERAGEIFS('PM Protocol'!$E97:$Z97,'PM Protocol'!$E$9:$Z$9,"="&amp;Composites!I$8,'PM Protocol'!$E$10:$Z$10,"="&amp;Composites!I$9)</f>
        <v>0</v>
      </c>
      <c r="J96" s="284">
        <f t="shared" si="12"/>
        <v>8.3134695610075557E-5</v>
      </c>
      <c r="K96" s="284">
        <f t="shared" si="13"/>
        <v>4.5001312646831464E-5</v>
      </c>
      <c r="L96" s="284">
        <f t="shared" si="14"/>
        <v>1.7041404497183265E-5</v>
      </c>
      <c r="M96" s="284">
        <f t="shared" si="15"/>
        <v>1.0937353476165297E-4</v>
      </c>
      <c r="N96" s="284">
        <f t="shared" si="16"/>
        <v>7.2540401322304639E-6</v>
      </c>
      <c r="O96" s="286">
        <f t="shared" si="17"/>
        <v>6.6483347017295521E-5</v>
      </c>
    </row>
    <row r="97" spans="1:15">
      <c r="A97" s="263">
        <v>300</v>
      </c>
      <c r="B97" s="294" t="str">
        <f>VLOOKUP(A97,'PM Protocol'!$A$12:$B$104,2,FALSE)</f>
        <v>XRF</v>
      </c>
      <c r="C97" s="264" t="s">
        <v>653</v>
      </c>
      <c r="D97" s="282">
        <f>AVERAGEIFS('PM Protocol'!$E98:$Z98,'PM Protocol'!$E$9:$Z$9,"="&amp;Composites!D$8,'PM Protocol'!$E$10:$Z$10,"="&amp;Composites!D$9)</f>
        <v>0</v>
      </c>
      <c r="E97" s="284">
        <f>AVERAGEIFS('PM Protocol'!$E98:$Z98,'PM Protocol'!$E$9:$Z$9,"="&amp;Composites!E$8,'PM Protocol'!$E$10:$Z$10,"="&amp;Composites!E$9)</f>
        <v>1.4392080240581459E-5</v>
      </c>
      <c r="F97" s="284">
        <f>AVERAGEIFS('PM Protocol'!$E98:$Z98,'PM Protocol'!$E$9:$Z$9,"="&amp;Composites!F$8,'PM Protocol'!$E$10:$Z$10,"="&amp;Composites!F$9)</f>
        <v>1.1948639678920244E-5</v>
      </c>
      <c r="G97" s="284">
        <f>AVERAGEIFS('PM Protocol'!$E98:$Z98,'PM Protocol'!$E$9:$Z$9,"="&amp;Composites!G$8,'PM Protocol'!$E$10:$Z$10,"="&amp;Composites!G$9)</f>
        <v>0</v>
      </c>
      <c r="H97" s="284">
        <f>AVERAGEIFS('PM Protocol'!$E98:$Z98,'PM Protocol'!$E$9:$Z$9,"="&amp;Composites!H$8,'PM Protocol'!$E$10:$Z$10,"="&amp;Composites!H$9)</f>
        <v>0</v>
      </c>
      <c r="I97" s="284">
        <f>AVERAGEIFS('PM Protocol'!$E98:$Z98,'PM Protocol'!$E$9:$Z$9,"="&amp;Composites!I$8,'PM Protocol'!$E$10:$Z$10,"="&amp;Composites!I$9)</f>
        <v>3.3393720809414832E-5</v>
      </c>
      <c r="J97" s="284">
        <f t="shared" si="12"/>
        <v>6.0446737010442127E-6</v>
      </c>
      <c r="K97" s="284">
        <f t="shared" si="13"/>
        <v>6.9302110137737411E-6</v>
      </c>
      <c r="L97" s="284">
        <f t="shared" si="14"/>
        <v>1.4025362739954229E-5</v>
      </c>
      <c r="M97" s="284">
        <f t="shared" si="15"/>
        <v>4.1820238876220854E-6</v>
      </c>
      <c r="N97" s="284">
        <f t="shared" si="16"/>
        <v>1.0304934184819618E-5</v>
      </c>
      <c r="O97" s="286">
        <f t="shared" si="17"/>
        <v>6.7536462124450484E-6</v>
      </c>
    </row>
    <row r="98" spans="1:15">
      <c r="A98" s="263">
        <v>519</v>
      </c>
      <c r="B98" s="294" t="str">
        <f>VLOOKUP(A98,'PM Protocol'!$A$12:$B$104,2,FALSE)</f>
        <v>XRF</v>
      </c>
      <c r="C98" s="264" t="s">
        <v>654</v>
      </c>
      <c r="D98" s="282">
        <f>AVERAGEIFS('PM Protocol'!$E99:$Z99,'PM Protocol'!$E$9:$Z$9,"="&amp;Composites!D$8,'PM Protocol'!$E$10:$Z$10,"="&amp;Composites!D$9)</f>
        <v>2.2041489737111137E-6</v>
      </c>
      <c r="E98" s="284">
        <f>AVERAGEIFS('PM Protocol'!$E99:$Z99,'PM Protocol'!$E$9:$Z$9,"="&amp;Composites!E$8,'PM Protocol'!$E$10:$Z$10,"="&amp;Composites!E$9)</f>
        <v>0</v>
      </c>
      <c r="F98" s="284">
        <f>AVERAGEIFS('PM Protocol'!$E99:$Z99,'PM Protocol'!$E$9:$Z$9,"="&amp;Composites!F$8,'PM Protocol'!$E$10:$Z$10,"="&amp;Composites!F$9)</f>
        <v>8.0807098981504065E-6</v>
      </c>
      <c r="G98" s="284">
        <f>AVERAGEIFS('PM Protocol'!$E99:$Z99,'PM Protocol'!$E$9:$Z$9,"="&amp;Composites!G$8,'PM Protocol'!$E$10:$Z$10,"="&amp;Composites!G$9)</f>
        <v>0</v>
      </c>
      <c r="H98" s="284">
        <f>AVERAGEIFS('PM Protocol'!$E99:$Z99,'PM Protocol'!$E$9:$Z$9,"="&amp;Composites!H$8,'PM Protocol'!$E$10:$Z$10,"="&amp;Composites!H$9)</f>
        <v>1.1405273692336708E-6</v>
      </c>
      <c r="I98" s="284">
        <f>AVERAGEIFS('PM Protocol'!$E99:$Z99,'PM Protocol'!$E$9:$Z$9,"="&amp;Composites!I$8,'PM Protocol'!$E$10:$Z$10,"="&amp;Composites!I$9)</f>
        <v>2.1787426654110276E-5</v>
      </c>
      <c r="J98" s="284">
        <f t="shared" si="12"/>
        <v>1.2784064047524459E-6</v>
      </c>
      <c r="K98" s="284">
        <f t="shared" si="13"/>
        <v>4.6868117409272355E-6</v>
      </c>
      <c r="L98" s="284">
        <f t="shared" si="14"/>
        <v>9.8122250688818449E-6</v>
      </c>
      <c r="M98" s="284">
        <f t="shared" si="15"/>
        <v>4.2077642170409937E-6</v>
      </c>
      <c r="N98" s="284">
        <f t="shared" si="16"/>
        <v>1.0893713327055137E-6</v>
      </c>
      <c r="O98" s="286">
        <f t="shared" si="17"/>
        <v>2.8980392056200923E-6</v>
      </c>
    </row>
    <row r="99" spans="1:15">
      <c r="A99" s="263">
        <v>1861</v>
      </c>
      <c r="B99" s="294" t="str">
        <f>VLOOKUP(A99,'PM Protocol'!$A$12:$B$104,2,FALSE)</f>
        <v>n/a</v>
      </c>
      <c r="C99" s="264" t="s">
        <v>736</v>
      </c>
      <c r="D99" s="282">
        <f>AVERAGEIFS('PM Protocol'!$E100:$Z100,'PM Protocol'!$E$9:$Z$9,"="&amp;Composites!D$8,'PM Protocol'!$E$10:$Z$10,"="&amp;Composites!D$9)</f>
        <v>0</v>
      </c>
      <c r="E99" s="284">
        <f>AVERAGEIFS('PM Protocol'!$E100:$Z100,'PM Protocol'!$E$9:$Z$9,"="&amp;Composites!E$8,'PM Protocol'!$E$10:$Z$10,"="&amp;Composites!E$9)</f>
        <v>0</v>
      </c>
      <c r="F99" s="284">
        <f>AVERAGEIFS('PM Protocol'!$E100:$Z100,'PM Protocol'!$E$9:$Z$9,"="&amp;Composites!F$8,'PM Protocol'!$E$10:$Z$10,"="&amp;Composites!F$9)</f>
        <v>0</v>
      </c>
      <c r="G99" s="284">
        <f>AVERAGEIFS('PM Protocol'!$E100:$Z100,'PM Protocol'!$E$9:$Z$9,"="&amp;Composites!G$8,'PM Protocol'!$E$10:$Z$10,"="&amp;Composites!G$9)</f>
        <v>0</v>
      </c>
      <c r="H99" s="284">
        <f>AVERAGEIFS('PM Protocol'!$E100:$Z100,'PM Protocol'!$E$9:$Z$9,"="&amp;Composites!H$8,'PM Protocol'!$E$10:$Z$10,"="&amp;Composites!H$9)</f>
        <v>0</v>
      </c>
      <c r="I99" s="284">
        <f>AVERAGEIFS('PM Protocol'!$E100:$Z100,'PM Protocol'!$E$9:$Z$9,"="&amp;Composites!I$8,'PM Protocol'!$E$10:$Z$10,"="&amp;Composites!I$9)</f>
        <v>0</v>
      </c>
      <c r="J99" s="284">
        <f t="shared" si="12"/>
        <v>0</v>
      </c>
      <c r="K99" s="284">
        <f t="shared" si="13"/>
        <v>0</v>
      </c>
      <c r="L99" s="284">
        <f t="shared" si="14"/>
        <v>0</v>
      </c>
      <c r="M99" s="284">
        <f t="shared" si="15"/>
        <v>0</v>
      </c>
      <c r="N99" s="284">
        <f t="shared" si="16"/>
        <v>0</v>
      </c>
      <c r="O99" s="286">
        <f t="shared" si="17"/>
        <v>0</v>
      </c>
    </row>
    <row r="100" spans="1:15">
      <c r="A100" s="263">
        <v>528</v>
      </c>
      <c r="B100" s="294" t="str">
        <f>VLOOKUP(A100,'PM Protocol'!$A$12:$B$104,2,FALSE)</f>
        <v>XRF</v>
      </c>
      <c r="C100" s="264" t="s">
        <v>655</v>
      </c>
      <c r="D100" s="282">
        <f>AVERAGEIFS('PM Protocol'!$E101:$Z101,'PM Protocol'!$E$9:$Z$9,"="&amp;Composites!D$8,'PM Protocol'!$E$10:$Z$10,"="&amp;Composites!D$9)</f>
        <v>4.9323676270100687E-6</v>
      </c>
      <c r="E100" s="284">
        <f>AVERAGEIFS('PM Protocol'!$E101:$Z101,'PM Protocol'!$E$9:$Z$9,"="&amp;Composites!E$8,'PM Protocol'!$E$10:$Z$10,"="&amp;Composites!E$9)</f>
        <v>3.2010158046032099E-6</v>
      </c>
      <c r="F100" s="284">
        <f>AVERAGEIFS('PM Protocol'!$E101:$Z101,'PM Protocol'!$E$9:$Z$9,"="&amp;Composites!F$8,'PM Protocol'!$E$10:$Z$10,"="&amp;Composites!F$9)</f>
        <v>0</v>
      </c>
      <c r="G100" s="284">
        <f>AVERAGEIFS('PM Protocol'!$E101:$Z101,'PM Protocol'!$E$9:$Z$9,"="&amp;Composites!G$8,'PM Protocol'!$E$10:$Z$10,"="&amp;Composites!G$9)</f>
        <v>0</v>
      </c>
      <c r="H100" s="284">
        <f>AVERAGEIFS('PM Protocol'!$E101:$Z101,'PM Protocol'!$E$9:$Z$9,"="&amp;Composites!H$8,'PM Protocol'!$E$10:$Z$10,"="&amp;Composites!H$9)</f>
        <v>1.0486571208600823E-5</v>
      </c>
      <c r="I100" s="284">
        <f>AVERAGEIFS('PM Protocol'!$E101:$Z101,'PM Protocol'!$E$9:$Z$9,"="&amp;Composites!I$8,'PM Protocol'!$E$10:$Z$10,"="&amp;Composites!I$9)</f>
        <v>4.8486521962886786E-6</v>
      </c>
      <c r="J100" s="284">
        <f t="shared" si="12"/>
        <v>4.2051998615991879E-6</v>
      </c>
      <c r="K100" s="284">
        <f t="shared" si="13"/>
        <v>0</v>
      </c>
      <c r="L100" s="284">
        <f t="shared" si="14"/>
        <v>8.1186452234297226E-6</v>
      </c>
      <c r="M100" s="284">
        <f t="shared" si="15"/>
        <v>3.4837491366360825E-6</v>
      </c>
      <c r="N100" s="284">
        <f t="shared" si="16"/>
        <v>2.1630420925763599E-6</v>
      </c>
      <c r="O100" s="286">
        <f t="shared" si="17"/>
        <v>2.9290521781309992E-6</v>
      </c>
    </row>
    <row r="101" spans="1:15">
      <c r="A101" s="263">
        <v>520</v>
      </c>
      <c r="B101" s="294" t="str">
        <f>VLOOKUP(A101,'PM Protocol'!$A$12:$B$104,2,FALSE)</f>
        <v>XRF</v>
      </c>
      <c r="C101" s="264" t="s">
        <v>656</v>
      </c>
      <c r="D101" s="282">
        <f>AVERAGEIFS('PM Protocol'!$E102:$Z102,'PM Protocol'!$E$9:$Z$9,"="&amp;Composites!D$8,'PM Protocol'!$E$10:$Z$10,"="&amp;Composites!D$9)</f>
        <v>0</v>
      </c>
      <c r="E101" s="284">
        <f>AVERAGEIFS('PM Protocol'!$E102:$Z102,'PM Protocol'!$E$9:$Z$9,"="&amp;Composites!E$8,'PM Protocol'!$E$10:$Z$10,"="&amp;Composites!E$9)</f>
        <v>0</v>
      </c>
      <c r="F101" s="284">
        <f>AVERAGEIFS('PM Protocol'!$E102:$Z102,'PM Protocol'!$E$9:$Z$9,"="&amp;Composites!F$8,'PM Protocol'!$E$10:$Z$10,"="&amp;Composites!F$9)</f>
        <v>3.065006001018632E-5</v>
      </c>
      <c r="G101" s="284">
        <f>AVERAGEIFS('PM Protocol'!$E102:$Z102,'PM Protocol'!$E$9:$Z$9,"="&amp;Composites!G$8,'PM Protocol'!$E$10:$Z$10,"="&amp;Composites!G$9)</f>
        <v>6.151113165226455E-7</v>
      </c>
      <c r="H101" s="284">
        <f>AVERAGEIFS('PM Protocol'!$E102:$Z102,'PM Protocol'!$E$9:$Z$9,"="&amp;Composites!H$8,'PM Protocol'!$E$10:$Z$10,"="&amp;Composites!H$9)</f>
        <v>1.2106771137104278E-5</v>
      </c>
      <c r="I101" s="284">
        <f>AVERAGEIFS('PM Protocol'!$E102:$Z102,'PM Protocol'!$E$9:$Z$9,"="&amp;Composites!I$8,'PM Protocol'!$E$10:$Z$10,"="&amp;Composites!I$9)</f>
        <v>1.3516982758538608E-5</v>
      </c>
      <c r="J101" s="284">
        <f t="shared" si="12"/>
        <v>0</v>
      </c>
      <c r="K101" s="284">
        <f t="shared" si="13"/>
        <v>1.8035381558847576E-5</v>
      </c>
      <c r="L101" s="284">
        <f t="shared" si="14"/>
        <v>1.2699060018106697E-5</v>
      </c>
      <c r="M101" s="284">
        <f t="shared" si="15"/>
        <v>1.1332859560420426E-5</v>
      </c>
      <c r="N101" s="284">
        <f t="shared" si="16"/>
        <v>8.9113809870985634E-7</v>
      </c>
      <c r="O101" s="286">
        <f t="shared" si="17"/>
        <v>6.9473365465019862E-6</v>
      </c>
    </row>
    <row r="102" spans="1:15">
      <c r="A102" s="263">
        <v>2670</v>
      </c>
      <c r="B102" s="294" t="str">
        <f>VLOOKUP(A102,'PM Protocol'!$A$12:$B$104,2,FALSE)</f>
        <v>Inferred</v>
      </c>
      <c r="C102" s="264" t="s">
        <v>737</v>
      </c>
      <c r="D102" s="282">
        <f>AVERAGEIFS('PM Protocol'!$E103:$Z103,'PM Protocol'!$E$9:$Z$9,"="&amp;Composites!D$8,'PM Protocol'!$E$10:$Z$10,"="&amp;Composites!D$9)</f>
        <v>2.9069085085273679E-3</v>
      </c>
      <c r="E102" s="284">
        <f>AVERAGEIFS('PM Protocol'!$E103:$Z103,'PM Protocol'!$E$9:$Z$9,"="&amp;Composites!E$8,'PM Protocol'!$E$10:$Z$10,"="&amp;Composites!E$9)</f>
        <v>2.891809476014643E-4</v>
      </c>
      <c r="F102" s="284">
        <f>AVERAGEIFS('PM Protocol'!$E103:$Z103,'PM Protocol'!$E$9:$Z$9,"="&amp;Composites!F$8,'PM Protocol'!$E$10:$Z$10,"="&amp;Composites!F$9)</f>
        <v>1.4219063132073131E-3</v>
      </c>
      <c r="G102" s="284">
        <f>AVERAGEIFS('PM Protocol'!$E103:$Z103,'PM Protocol'!$E$9:$Z$9,"="&amp;Composites!G$8,'PM Protocol'!$E$10:$Z$10,"="&amp;Composites!G$9)</f>
        <v>5.2281781431181293E-4</v>
      </c>
      <c r="H102" s="284">
        <f>AVERAGEIFS('PM Protocol'!$E103:$Z103,'PM Protocol'!$E$9:$Z$9,"="&amp;Composites!H$8,'PM Protocol'!$E$10:$Z$10,"="&amp;Composites!H$9)</f>
        <v>5.4807832776987908E-4</v>
      </c>
      <c r="I102" s="284">
        <f>AVERAGEIFS('PM Protocol'!$E103:$Z103,'PM Protocol'!$E$9:$Z$9,"="&amp;Composites!I$8,'PM Protocol'!$E$10:$Z$10,"="&amp;Composites!I$9)</f>
        <v>3.0136377806356791E-4</v>
      </c>
      <c r="J102" s="284">
        <f t="shared" si="12"/>
        <v>1.8074629329384883E-3</v>
      </c>
      <c r="K102" s="284">
        <f t="shared" si="13"/>
        <v>1.0442891436712029E-3</v>
      </c>
      <c r="L102" s="284">
        <f t="shared" si="14"/>
        <v>4.4445821689322832E-4</v>
      </c>
      <c r="M102" s="284">
        <f t="shared" si="15"/>
        <v>2.269216231127474E-3</v>
      </c>
      <c r="N102" s="284">
        <f t="shared" si="16"/>
        <v>3.715629924731915E-4</v>
      </c>
      <c r="O102" s="286">
        <f t="shared" si="17"/>
        <v>1.4722018708926753E-3</v>
      </c>
    </row>
    <row r="103" spans="1:15" ht="15.75" thickBot="1">
      <c r="A103" s="260">
        <v>2671</v>
      </c>
      <c r="B103" s="261" t="str">
        <f>VLOOKUP(A103,'PM Protocol'!$A$12:$B$104,2,FALSE)</f>
        <v>Inferred</v>
      </c>
      <c r="C103" s="262" t="s">
        <v>738</v>
      </c>
      <c r="D103" s="283">
        <f>AVERAGEIFS('PM Protocol'!$E104:$Z104,'PM Protocol'!$E$9:$Z$9,"="&amp;Composites!D$8,'PM Protocol'!$E$10:$Z$10,"="&amp;Composites!D$9)</f>
        <v>0</v>
      </c>
      <c r="E103" s="285">
        <f>AVERAGEIFS('PM Protocol'!$E104:$Z104,'PM Protocol'!$E$9:$Z$9,"="&amp;Composites!E$8,'PM Protocol'!$E$10:$Z$10,"="&amp;Composites!E$9)</f>
        <v>0</v>
      </c>
      <c r="F103" s="285">
        <f>AVERAGEIFS('PM Protocol'!$E104:$Z104,'PM Protocol'!$E$9:$Z$9,"="&amp;Composites!F$8,'PM Protocol'!$E$10:$Z$10,"="&amp;Composites!F$9)</f>
        <v>0</v>
      </c>
      <c r="G103" s="285">
        <f>AVERAGEIFS('PM Protocol'!$E104:$Z104,'PM Protocol'!$E$9:$Z$9,"="&amp;Composites!G$8,'PM Protocol'!$E$10:$Z$10,"="&amp;Composites!G$9)</f>
        <v>0</v>
      </c>
      <c r="H103" s="285">
        <f>AVERAGEIFS('PM Protocol'!$E104:$Z104,'PM Protocol'!$E$9:$Z$9,"="&amp;Composites!H$8,'PM Protocol'!$E$10:$Z$10,"="&amp;Composites!H$9)</f>
        <v>0</v>
      </c>
      <c r="I103" s="285">
        <f>AVERAGEIFS('PM Protocol'!$E104:$Z104,'PM Protocol'!$E$9:$Z$9,"="&amp;Composites!I$8,'PM Protocol'!$E$10:$Z$10,"="&amp;Composites!I$9)</f>
        <v>0</v>
      </c>
      <c r="J103" s="285">
        <f t="shared" si="12"/>
        <v>0</v>
      </c>
      <c r="K103" s="285">
        <f t="shared" si="13"/>
        <v>0</v>
      </c>
      <c r="L103" s="285">
        <f t="shared" si="14"/>
        <v>0</v>
      </c>
      <c r="M103" s="285">
        <f t="shared" si="15"/>
        <v>0</v>
      </c>
      <c r="N103" s="285">
        <f t="shared" si="16"/>
        <v>0</v>
      </c>
      <c r="O103" s="287">
        <f t="shared" si="17"/>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ED9A4-BC68-4CB0-A49E-900DCAFCBF01}">
  <dimension ref="A1:AU144"/>
  <sheetViews>
    <sheetView workbookViewId="0">
      <selection activeCell="A15" sqref="A15"/>
    </sheetView>
  </sheetViews>
  <sheetFormatPr defaultRowHeight="15"/>
  <sheetData>
    <row r="1" spans="1:16">
      <c r="A1" s="209" t="s">
        <v>757</v>
      </c>
    </row>
    <row r="2" spans="1:16" ht="18.75">
      <c r="A2" s="210" t="s">
        <v>758</v>
      </c>
    </row>
    <row r="3" spans="1:16" ht="18.75">
      <c r="A3" s="210" t="s">
        <v>759</v>
      </c>
    </row>
    <row r="4" spans="1:16" ht="18.75">
      <c r="A4" s="210" t="s">
        <v>760</v>
      </c>
    </row>
    <row r="5" spans="1:16" ht="18.75">
      <c r="A5" s="210" t="s">
        <v>761</v>
      </c>
    </row>
    <row r="6" spans="1:16" ht="28.5">
      <c r="A6" s="210" t="s">
        <v>762</v>
      </c>
      <c r="P6" s="234" t="s">
        <v>763</v>
      </c>
    </row>
    <row r="7" spans="1:16" ht="28.5">
      <c r="A7" s="210" t="s">
        <v>764</v>
      </c>
      <c r="P7" s="234" t="s">
        <v>765</v>
      </c>
    </row>
    <row r="8" spans="1:16" ht="18.75">
      <c r="A8" s="210" t="s">
        <v>766</v>
      </c>
    </row>
    <row r="9" spans="1:16" ht="18.75">
      <c r="A9" s="210" t="s">
        <v>767</v>
      </c>
    </row>
    <row r="10" spans="1:16" ht="18.75">
      <c r="A10" s="210" t="s">
        <v>768</v>
      </c>
    </row>
    <row r="11" spans="1:16" ht="18.75">
      <c r="A11" s="210" t="s">
        <v>769</v>
      </c>
    </row>
    <row r="12" spans="1:16" ht="18.75">
      <c r="A12" s="210" t="s">
        <v>770</v>
      </c>
    </row>
    <row r="13" spans="1:16" ht="18.75">
      <c r="A13" s="210" t="s">
        <v>771</v>
      </c>
    </row>
    <row r="14" spans="1:16" ht="18.75">
      <c r="A14" s="212"/>
    </row>
    <row r="15" spans="1:16">
      <c r="A15" s="211" t="s">
        <v>772</v>
      </c>
    </row>
    <row r="16" spans="1:16" ht="18.75">
      <c r="A16" s="212"/>
    </row>
    <row r="17" spans="1:1" ht="18.75">
      <c r="A17" s="212" t="s">
        <v>773</v>
      </c>
    </row>
    <row r="18" spans="1:1" ht="18.75">
      <c r="A18" s="213" t="s">
        <v>774</v>
      </c>
    </row>
    <row r="19" spans="1:1">
      <c r="A19" s="214" t="s">
        <v>775</v>
      </c>
    </row>
    <row r="20" spans="1:1">
      <c r="A20" s="211" t="s">
        <v>776</v>
      </c>
    </row>
    <row r="21" spans="1:1">
      <c r="A21" s="211"/>
    </row>
    <row r="22" spans="1:1">
      <c r="A22" s="214" t="s">
        <v>777</v>
      </c>
    </row>
    <row r="23" spans="1:1">
      <c r="A23" s="211" t="s">
        <v>778</v>
      </c>
    </row>
    <row r="24" spans="1:1">
      <c r="A24" s="215" t="s">
        <v>779</v>
      </c>
    </row>
    <row r="25" spans="1:1">
      <c r="A25" s="216" t="s">
        <v>780</v>
      </c>
    </row>
    <row r="26" spans="1:1">
      <c r="A26" s="216" t="s">
        <v>781</v>
      </c>
    </row>
    <row r="27" spans="1:1">
      <c r="A27" s="216" t="s">
        <v>782</v>
      </c>
    </row>
    <row r="28" spans="1:1" ht="18.75">
      <c r="A28" s="212"/>
    </row>
    <row r="29" spans="1:1" ht="18.75">
      <c r="A29" s="217" t="s">
        <v>763</v>
      </c>
    </row>
    <row r="30" spans="1:1" ht="18.75">
      <c r="A30" s="217"/>
    </row>
    <row r="31" spans="1:1" ht="18.75">
      <c r="A31" s="218" t="s">
        <v>783</v>
      </c>
    </row>
    <row r="32" spans="1:1" ht="18.75">
      <c r="A32" s="218"/>
    </row>
    <row r="33" spans="1:1">
      <c r="A33" s="219" t="s">
        <v>784</v>
      </c>
    </row>
    <row r="34" spans="1:1">
      <c r="A34" s="219"/>
    </row>
    <row r="35" spans="1:1">
      <c r="A35" s="219" t="s">
        <v>785</v>
      </c>
    </row>
    <row r="36" spans="1:1">
      <c r="A36" s="219"/>
    </row>
    <row r="37" spans="1:1">
      <c r="A37" s="219" t="s">
        <v>786</v>
      </c>
    </row>
    <row r="38" spans="1:1">
      <c r="A38" s="219" t="s">
        <v>497</v>
      </c>
    </row>
    <row r="39" spans="1:1">
      <c r="A39" s="219"/>
    </row>
    <row r="40" spans="1:1">
      <c r="A40" s="220" t="s">
        <v>787</v>
      </c>
    </row>
    <row r="41" spans="1:1">
      <c r="A41" s="220" t="s">
        <v>788</v>
      </c>
    </row>
    <row r="42" spans="1:1">
      <c r="A42" s="220" t="s">
        <v>789</v>
      </c>
    </row>
    <row r="43" spans="1:1" ht="18.75">
      <c r="A43" s="213"/>
    </row>
    <row r="44" spans="1:1" ht="18.75">
      <c r="A44" s="218"/>
    </row>
    <row r="45" spans="1:1">
      <c r="A45" s="219" t="s">
        <v>790</v>
      </c>
    </row>
    <row r="46" spans="1:1">
      <c r="A46" s="219"/>
    </row>
    <row r="47" spans="1:1">
      <c r="A47" s="221" t="s">
        <v>791</v>
      </c>
    </row>
    <row r="48" spans="1:1">
      <c r="A48" s="223" t="s">
        <v>792</v>
      </c>
    </row>
    <row r="49" spans="1:47">
      <c r="A49" s="211"/>
    </row>
    <row r="50" spans="1:47">
      <c r="A50" s="224" t="s">
        <v>793</v>
      </c>
    </row>
    <row r="51" spans="1:47">
      <c r="A51" s="211" t="s">
        <v>794</v>
      </c>
    </row>
    <row r="52" spans="1:47">
      <c r="A52" s="211" t="s">
        <v>795</v>
      </c>
    </row>
    <row r="53" spans="1:47">
      <c r="A53" s="211" t="s">
        <v>796</v>
      </c>
    </row>
    <row r="54" spans="1:47" ht="18.75">
      <c r="A54" s="212"/>
    </row>
    <row r="55" spans="1:47" ht="18.75">
      <c r="A55" s="225" t="s">
        <v>797</v>
      </c>
    </row>
    <row r="56" spans="1:47">
      <c r="A56" s="223" t="s">
        <v>798</v>
      </c>
    </row>
    <row r="57" spans="1:47" ht="16.5">
      <c r="A57" s="222"/>
    </row>
    <row r="58" spans="1:47" ht="18.75">
      <c r="A58" s="226" t="s">
        <v>799</v>
      </c>
    </row>
    <row r="59" spans="1:47" ht="18.75">
      <c r="A59" s="225"/>
    </row>
    <row r="60" spans="1:47" ht="18.75">
      <c r="A60" s="225" t="s">
        <v>800</v>
      </c>
    </row>
    <row r="61" spans="1:47" ht="15.75" thickBot="1">
      <c r="A61" s="221"/>
    </row>
    <row r="62" spans="1:47" ht="15.75" thickBot="1">
      <c r="A62" s="318" t="s">
        <v>801</v>
      </c>
      <c r="B62" s="318"/>
      <c r="C62" s="318"/>
      <c r="D62" s="318"/>
      <c r="E62" s="318"/>
      <c r="F62" s="318"/>
      <c r="G62" s="318"/>
      <c r="H62" s="318"/>
      <c r="I62" s="318"/>
      <c r="J62" s="318"/>
      <c r="K62" s="318"/>
      <c r="L62" s="318"/>
      <c r="M62" s="318"/>
      <c r="N62" s="319"/>
      <c r="O62" s="319"/>
      <c r="P62" s="319"/>
      <c r="Q62" s="319"/>
      <c r="R62" s="319"/>
      <c r="S62" s="319"/>
      <c r="T62" s="319"/>
      <c r="U62" s="319"/>
      <c r="V62" s="319"/>
      <c r="W62" s="319"/>
      <c r="X62" s="319"/>
      <c r="Y62" s="319"/>
      <c r="Z62" s="320"/>
      <c r="AA62" s="321" t="s">
        <v>802</v>
      </c>
      <c r="AB62" s="322"/>
      <c r="AC62" s="322"/>
      <c r="AD62" s="322"/>
      <c r="AE62" s="323"/>
      <c r="AF62" s="324">
        <v>30</v>
      </c>
      <c r="AG62" s="325"/>
      <c r="AH62" s="326"/>
      <c r="AI62" s="302" t="s">
        <v>37</v>
      </c>
      <c r="AJ62" s="303"/>
      <c r="AK62" s="303"/>
      <c r="AL62" s="303"/>
      <c r="AM62" s="304"/>
      <c r="AN62" s="305"/>
      <c r="AO62" s="306"/>
      <c r="AP62" s="306"/>
      <c r="AQ62" s="307"/>
      <c r="AR62" s="308"/>
      <c r="AS62" s="309"/>
      <c r="AT62" s="309"/>
      <c r="AU62" s="309"/>
    </row>
    <row r="63" spans="1:47" ht="34.5" thickBot="1">
      <c r="A63" s="228"/>
      <c r="B63" s="297" t="s">
        <v>803</v>
      </c>
      <c r="C63" s="298"/>
      <c r="D63" s="297" t="s">
        <v>804</v>
      </c>
      <c r="E63" s="310" t="s">
        <v>805</v>
      </c>
      <c r="F63" s="311"/>
      <c r="G63" s="312" t="s">
        <v>806</v>
      </c>
      <c r="H63" s="313"/>
      <c r="I63" s="312" t="s">
        <v>807</v>
      </c>
      <c r="J63" s="314"/>
      <c r="K63" s="313"/>
      <c r="L63" s="312" t="s">
        <v>808</v>
      </c>
      <c r="M63" s="314"/>
      <c r="N63" s="314"/>
      <c r="O63" s="314"/>
      <c r="P63" s="314"/>
      <c r="Q63" s="314"/>
      <c r="R63" s="313"/>
      <c r="S63" s="315"/>
      <c r="T63" s="316"/>
      <c r="U63" s="317"/>
      <c r="V63" s="297" t="s">
        <v>809</v>
      </c>
      <c r="W63" s="312" t="s">
        <v>810</v>
      </c>
      <c r="X63" s="314"/>
      <c r="Y63" s="314"/>
      <c r="Z63" s="314"/>
      <c r="AA63" s="314"/>
      <c r="AB63" s="314"/>
      <c r="AC63" s="313"/>
      <c r="AD63" s="312" t="s">
        <v>811</v>
      </c>
      <c r="AE63" s="314"/>
      <c r="AF63" s="314"/>
      <c r="AG63" s="314"/>
      <c r="AH63" s="314"/>
      <c r="AI63" s="314"/>
      <c r="AJ63" s="313"/>
      <c r="AK63" s="229" t="s">
        <v>812</v>
      </c>
      <c r="AL63" s="312" t="s">
        <v>813</v>
      </c>
      <c r="AM63" s="314"/>
      <c r="AN63" s="314"/>
      <c r="AO63" s="313"/>
      <c r="AP63" s="327"/>
      <c r="AQ63" s="328"/>
      <c r="AR63" s="328"/>
      <c r="AS63" s="328"/>
      <c r="AT63" s="328"/>
      <c r="AU63" s="328"/>
    </row>
    <row r="64" spans="1:47" ht="15.75" thickBot="1">
      <c r="A64" s="227"/>
      <c r="B64" s="300"/>
      <c r="C64" s="230">
        <v>44941</v>
      </c>
      <c r="D64" s="231">
        <v>76.599999999999994</v>
      </c>
      <c r="E64" s="329">
        <v>23.4</v>
      </c>
      <c r="F64" s="330"/>
      <c r="G64" s="324">
        <v>0</v>
      </c>
      <c r="H64" s="326"/>
      <c r="I64" s="324">
        <v>7.2</v>
      </c>
      <c r="J64" s="325"/>
      <c r="K64" s="326"/>
      <c r="L64" s="324">
        <v>0</v>
      </c>
      <c r="M64" s="325"/>
      <c r="N64" s="325"/>
      <c r="O64" s="325"/>
      <c r="P64" s="325"/>
      <c r="Q64" s="325"/>
      <c r="R64" s="326"/>
      <c r="S64" s="305"/>
      <c r="T64" s="306"/>
      <c r="U64" s="307"/>
      <c r="V64" s="231">
        <v>0</v>
      </c>
      <c r="W64" s="324">
        <v>4.4285709999999998</v>
      </c>
      <c r="X64" s="325"/>
      <c r="Y64" s="325"/>
      <c r="Z64" s="325"/>
      <c r="AA64" s="325"/>
      <c r="AB64" s="325"/>
      <c r="AC64" s="326"/>
      <c r="AD64" s="324">
        <v>0</v>
      </c>
      <c r="AE64" s="325"/>
      <c r="AF64" s="325"/>
      <c r="AG64" s="325"/>
      <c r="AH64" s="325"/>
      <c r="AI64" s="325"/>
      <c r="AJ64" s="326"/>
      <c r="AK64" s="231">
        <v>744</v>
      </c>
      <c r="AL64" s="324">
        <v>0</v>
      </c>
      <c r="AM64" s="325"/>
      <c r="AN64" s="325"/>
      <c r="AO64" s="326"/>
      <c r="AP64" s="327"/>
      <c r="AQ64" s="328"/>
      <c r="AR64" s="328"/>
      <c r="AS64" s="328"/>
      <c r="AT64" s="328"/>
      <c r="AU64" s="328"/>
    </row>
    <row r="65" spans="1:47" ht="15.75" thickBot="1">
      <c r="A65" s="227"/>
      <c r="B65" s="300"/>
      <c r="C65" s="300"/>
      <c r="D65" s="231">
        <v>75.7</v>
      </c>
      <c r="E65" s="329">
        <v>24.3</v>
      </c>
      <c r="F65" s="330"/>
      <c r="G65" s="324">
        <v>0</v>
      </c>
      <c r="H65" s="326"/>
      <c r="I65" s="324">
        <v>7.1</v>
      </c>
      <c r="J65" s="325"/>
      <c r="K65" s="326"/>
      <c r="L65" s="324">
        <v>0</v>
      </c>
      <c r="M65" s="325"/>
      <c r="N65" s="325"/>
      <c r="O65" s="325"/>
      <c r="P65" s="325"/>
      <c r="Q65" s="325"/>
      <c r="R65" s="326"/>
      <c r="S65" s="305"/>
      <c r="T65" s="306"/>
      <c r="U65" s="307"/>
      <c r="V65" s="231">
        <v>0</v>
      </c>
      <c r="W65" s="324">
        <v>4.4285709999999998</v>
      </c>
      <c r="X65" s="325"/>
      <c r="Y65" s="325"/>
      <c r="Z65" s="325"/>
      <c r="AA65" s="325"/>
      <c r="AB65" s="325"/>
      <c r="AC65" s="326"/>
      <c r="AD65" s="324">
        <v>0</v>
      </c>
      <c r="AE65" s="325"/>
      <c r="AF65" s="325"/>
      <c r="AG65" s="325"/>
      <c r="AH65" s="325"/>
      <c r="AI65" s="325"/>
      <c r="AJ65" s="326"/>
      <c r="AK65" s="231">
        <v>744</v>
      </c>
      <c r="AL65" s="324">
        <v>0</v>
      </c>
      <c r="AM65" s="325"/>
      <c r="AN65" s="325"/>
      <c r="AO65" s="326"/>
      <c r="AP65" s="327"/>
      <c r="AQ65" s="328"/>
      <c r="AR65" s="328"/>
      <c r="AS65" s="328"/>
      <c r="AT65" s="328"/>
      <c r="AU65" s="328"/>
    </row>
    <row r="66" spans="1:47" ht="15.75" thickBot="1">
      <c r="A66" s="227"/>
      <c r="B66" s="300"/>
      <c r="C66" s="300"/>
      <c r="D66" s="231">
        <v>71.599999999999994</v>
      </c>
      <c r="E66" s="329">
        <v>28.4</v>
      </c>
      <c r="F66" s="330"/>
      <c r="G66" s="324">
        <v>0</v>
      </c>
      <c r="H66" s="326"/>
      <c r="I66" s="324">
        <v>7.7</v>
      </c>
      <c r="J66" s="325"/>
      <c r="K66" s="326"/>
      <c r="L66" s="324">
        <v>0</v>
      </c>
      <c r="M66" s="325"/>
      <c r="N66" s="325"/>
      <c r="O66" s="325"/>
      <c r="P66" s="325"/>
      <c r="Q66" s="325"/>
      <c r="R66" s="326"/>
      <c r="S66" s="305"/>
      <c r="T66" s="306"/>
      <c r="U66" s="307"/>
      <c r="V66" s="231">
        <v>0</v>
      </c>
      <c r="W66" s="324">
        <v>4.4285709999999998</v>
      </c>
      <c r="X66" s="325"/>
      <c r="Y66" s="325"/>
      <c r="Z66" s="325"/>
      <c r="AA66" s="325"/>
      <c r="AB66" s="325"/>
      <c r="AC66" s="326"/>
      <c r="AD66" s="324">
        <v>0</v>
      </c>
      <c r="AE66" s="325"/>
      <c r="AF66" s="325"/>
      <c r="AG66" s="325"/>
      <c r="AH66" s="325"/>
      <c r="AI66" s="325"/>
      <c r="AJ66" s="326"/>
      <c r="AK66" s="231">
        <v>744</v>
      </c>
      <c r="AL66" s="324">
        <v>0</v>
      </c>
      <c r="AM66" s="325"/>
      <c r="AN66" s="325"/>
      <c r="AO66" s="326"/>
      <c r="AP66" s="327"/>
      <c r="AQ66" s="328"/>
      <c r="AR66" s="328"/>
      <c r="AS66" s="328"/>
      <c r="AT66" s="328"/>
      <c r="AU66" s="328"/>
    </row>
    <row r="67" spans="1:47" ht="15.75" thickBot="1">
      <c r="A67" s="227"/>
      <c r="B67" s="300"/>
      <c r="C67" s="300"/>
      <c r="D67" s="231">
        <v>59.6</v>
      </c>
      <c r="E67" s="329">
        <v>40.4</v>
      </c>
      <c r="F67" s="330"/>
      <c r="G67" s="324">
        <v>0</v>
      </c>
      <c r="H67" s="326"/>
      <c r="I67" s="324">
        <v>11.1</v>
      </c>
      <c r="J67" s="325"/>
      <c r="K67" s="326"/>
      <c r="L67" s="324">
        <v>0</v>
      </c>
      <c r="M67" s="325"/>
      <c r="N67" s="325"/>
      <c r="O67" s="325"/>
      <c r="P67" s="325"/>
      <c r="Q67" s="326"/>
      <c r="R67" s="305"/>
      <c r="S67" s="306"/>
      <c r="T67" s="307"/>
      <c r="U67" s="324">
        <v>0</v>
      </c>
      <c r="V67" s="325"/>
      <c r="W67" s="326"/>
      <c r="X67" s="324">
        <v>4.4285709999999998</v>
      </c>
      <c r="Y67" s="325"/>
      <c r="Z67" s="325"/>
      <c r="AA67" s="325"/>
      <c r="AB67" s="326"/>
      <c r="AC67" s="324">
        <v>0</v>
      </c>
      <c r="AD67" s="325"/>
      <c r="AE67" s="325"/>
      <c r="AF67" s="325"/>
      <c r="AG67" s="325"/>
      <c r="AH67" s="325"/>
      <c r="AI67" s="326"/>
      <c r="AJ67" s="324">
        <v>744</v>
      </c>
      <c r="AK67" s="326"/>
      <c r="AL67" s="324">
        <v>0</v>
      </c>
      <c r="AM67" s="325"/>
      <c r="AN67" s="326"/>
      <c r="AO67" s="327"/>
      <c r="AP67" s="328"/>
      <c r="AQ67" s="328"/>
      <c r="AR67" s="328"/>
      <c r="AS67" s="328"/>
      <c r="AT67" s="328"/>
      <c r="AU67" s="328"/>
    </row>
    <row r="68" spans="1:47" ht="15.75" thickBot="1">
      <c r="A68" s="227"/>
      <c r="B68" s="300"/>
      <c r="C68" s="300"/>
      <c r="D68" s="231">
        <v>70.3</v>
      </c>
      <c r="E68" s="329">
        <v>26.3</v>
      </c>
      <c r="F68" s="330"/>
      <c r="G68" s="324">
        <v>3.4</v>
      </c>
      <c r="H68" s="326"/>
      <c r="I68" s="324">
        <v>6.6</v>
      </c>
      <c r="J68" s="325"/>
      <c r="K68" s="326"/>
      <c r="L68" s="324">
        <v>0</v>
      </c>
      <c r="M68" s="325"/>
      <c r="N68" s="325"/>
      <c r="O68" s="325"/>
      <c r="P68" s="325"/>
      <c r="Q68" s="326"/>
      <c r="R68" s="305"/>
      <c r="S68" s="306"/>
      <c r="T68" s="307"/>
      <c r="U68" s="324">
        <v>0</v>
      </c>
      <c r="V68" s="325"/>
      <c r="W68" s="326"/>
      <c r="X68" s="324">
        <v>4.4285709999999998</v>
      </c>
      <c r="Y68" s="325"/>
      <c r="Z68" s="325"/>
      <c r="AA68" s="325"/>
      <c r="AB68" s="326"/>
      <c r="AC68" s="324">
        <v>0</v>
      </c>
      <c r="AD68" s="325"/>
      <c r="AE68" s="325"/>
      <c r="AF68" s="325"/>
      <c r="AG68" s="325"/>
      <c r="AH68" s="325"/>
      <c r="AI68" s="326"/>
      <c r="AJ68" s="324">
        <v>744</v>
      </c>
      <c r="AK68" s="326"/>
      <c r="AL68" s="324">
        <v>0</v>
      </c>
      <c r="AM68" s="325"/>
      <c r="AN68" s="326"/>
      <c r="AO68" s="327"/>
      <c r="AP68" s="328"/>
      <c r="AQ68" s="328"/>
      <c r="AR68" s="328"/>
      <c r="AS68" s="328"/>
      <c r="AT68" s="328"/>
      <c r="AU68" s="328"/>
    </row>
    <row r="69" spans="1:47" ht="15.75" thickBot="1">
      <c r="A69" s="227"/>
      <c r="B69" s="300"/>
      <c r="C69" s="300"/>
      <c r="D69" s="231">
        <v>65.599999999999994</v>
      </c>
      <c r="E69" s="329">
        <v>21.6</v>
      </c>
      <c r="F69" s="330"/>
      <c r="G69" s="324">
        <v>12.7</v>
      </c>
      <c r="H69" s="326"/>
      <c r="I69" s="324">
        <v>7.5</v>
      </c>
      <c r="J69" s="325"/>
      <c r="K69" s="326"/>
      <c r="L69" s="324">
        <v>0</v>
      </c>
      <c r="M69" s="325"/>
      <c r="N69" s="325"/>
      <c r="O69" s="325"/>
      <c r="P69" s="325"/>
      <c r="Q69" s="326"/>
      <c r="R69" s="305"/>
      <c r="S69" s="306"/>
      <c r="T69" s="307"/>
      <c r="U69" s="324">
        <v>0</v>
      </c>
      <c r="V69" s="325"/>
      <c r="W69" s="326"/>
      <c r="X69" s="324">
        <v>4.4285709999999998</v>
      </c>
      <c r="Y69" s="325"/>
      <c r="Z69" s="325"/>
      <c r="AA69" s="325"/>
      <c r="AB69" s="326"/>
      <c r="AC69" s="324">
        <v>0</v>
      </c>
      <c r="AD69" s="325"/>
      <c r="AE69" s="325"/>
      <c r="AF69" s="325"/>
      <c r="AG69" s="325"/>
      <c r="AH69" s="325"/>
      <c r="AI69" s="326"/>
      <c r="AJ69" s="324">
        <v>744</v>
      </c>
      <c r="AK69" s="326"/>
      <c r="AL69" s="324">
        <v>0</v>
      </c>
      <c r="AM69" s="325"/>
      <c r="AN69" s="326"/>
      <c r="AO69" s="327"/>
      <c r="AP69" s="328"/>
      <c r="AQ69" s="328"/>
      <c r="AR69" s="328"/>
      <c r="AS69" s="328"/>
      <c r="AT69" s="328"/>
      <c r="AU69" s="328"/>
    </row>
    <row r="70" spans="1:47" ht="15.75" thickBot="1">
      <c r="A70" s="227"/>
      <c r="B70" s="300"/>
      <c r="C70" s="300"/>
      <c r="D70" s="231">
        <v>56.6</v>
      </c>
      <c r="E70" s="329">
        <v>20.2</v>
      </c>
      <c r="F70" s="330"/>
      <c r="G70" s="324">
        <v>24.2</v>
      </c>
      <c r="H70" s="326"/>
      <c r="I70" s="324">
        <v>7.6</v>
      </c>
      <c r="J70" s="325"/>
      <c r="K70" s="326"/>
      <c r="L70" s="324">
        <v>0</v>
      </c>
      <c r="M70" s="325"/>
      <c r="N70" s="325"/>
      <c r="O70" s="325"/>
      <c r="P70" s="325"/>
      <c r="Q70" s="326"/>
      <c r="R70" s="305"/>
      <c r="S70" s="306"/>
      <c r="T70" s="307"/>
      <c r="U70" s="324">
        <v>0</v>
      </c>
      <c r="V70" s="325"/>
      <c r="W70" s="326"/>
      <c r="X70" s="324">
        <v>4.4285709999999998</v>
      </c>
      <c r="Y70" s="325"/>
      <c r="Z70" s="325"/>
      <c r="AA70" s="325"/>
      <c r="AB70" s="326"/>
      <c r="AC70" s="324">
        <v>0</v>
      </c>
      <c r="AD70" s="325"/>
      <c r="AE70" s="325"/>
      <c r="AF70" s="325"/>
      <c r="AG70" s="325"/>
      <c r="AH70" s="325"/>
      <c r="AI70" s="326"/>
      <c r="AJ70" s="324">
        <v>744</v>
      </c>
      <c r="AK70" s="326"/>
      <c r="AL70" s="324">
        <v>0</v>
      </c>
      <c r="AM70" s="325"/>
      <c r="AN70" s="326"/>
      <c r="AO70" s="327"/>
      <c r="AP70" s="328"/>
      <c r="AQ70" s="328"/>
      <c r="AR70" s="328"/>
      <c r="AS70" s="328"/>
      <c r="AT70" s="328"/>
      <c r="AU70" s="328"/>
    </row>
    <row r="71" spans="1:47" ht="15.75" thickBot="1">
      <c r="A71" s="227"/>
      <c r="B71" s="300"/>
      <c r="C71" s="300"/>
      <c r="D71" s="231">
        <v>56</v>
      </c>
      <c r="E71" s="329">
        <v>13.6</v>
      </c>
      <c r="F71" s="330"/>
      <c r="G71" s="324">
        <v>30.4</v>
      </c>
      <c r="H71" s="326"/>
      <c r="I71" s="324">
        <v>8.3000000000000007</v>
      </c>
      <c r="J71" s="325"/>
      <c r="K71" s="326"/>
      <c r="L71" s="324">
        <v>0</v>
      </c>
      <c r="M71" s="325"/>
      <c r="N71" s="325"/>
      <c r="O71" s="325"/>
      <c r="P71" s="325"/>
      <c r="Q71" s="326"/>
      <c r="R71" s="305"/>
      <c r="S71" s="306"/>
      <c r="T71" s="307"/>
      <c r="U71" s="324">
        <v>0</v>
      </c>
      <c r="V71" s="325"/>
      <c r="W71" s="326"/>
      <c r="X71" s="324">
        <v>4.4285709999999998</v>
      </c>
      <c r="Y71" s="325"/>
      <c r="Z71" s="325"/>
      <c r="AA71" s="325"/>
      <c r="AB71" s="326"/>
      <c r="AC71" s="324">
        <v>0</v>
      </c>
      <c r="AD71" s="325"/>
      <c r="AE71" s="325"/>
      <c r="AF71" s="325"/>
      <c r="AG71" s="325"/>
      <c r="AH71" s="325"/>
      <c r="AI71" s="326"/>
      <c r="AJ71" s="324">
        <v>744</v>
      </c>
      <c r="AK71" s="326"/>
      <c r="AL71" s="324">
        <v>0</v>
      </c>
      <c r="AM71" s="325"/>
      <c r="AN71" s="326"/>
      <c r="AO71" s="327"/>
      <c r="AP71" s="328"/>
      <c r="AQ71" s="328"/>
      <c r="AR71" s="328"/>
      <c r="AS71" s="328"/>
      <c r="AT71" s="328"/>
      <c r="AU71" s="328"/>
    </row>
    <row r="72" spans="1:47" ht="15.75" thickBot="1">
      <c r="A72" s="227"/>
      <c r="B72" s="300"/>
      <c r="C72" s="300"/>
      <c r="D72" s="231">
        <v>43.4</v>
      </c>
      <c r="E72" s="329">
        <v>19.100000000000001</v>
      </c>
      <c r="F72" s="330"/>
      <c r="G72" s="324">
        <v>37.5</v>
      </c>
      <c r="H72" s="326"/>
      <c r="I72" s="324">
        <v>7.2</v>
      </c>
      <c r="J72" s="325"/>
      <c r="K72" s="326"/>
      <c r="L72" s="324">
        <v>0.4</v>
      </c>
      <c r="M72" s="325"/>
      <c r="N72" s="325"/>
      <c r="O72" s="325"/>
      <c r="P72" s="325"/>
      <c r="Q72" s="326"/>
      <c r="R72" s="305"/>
      <c r="S72" s="306"/>
      <c r="T72" s="307"/>
      <c r="U72" s="324">
        <v>0.2</v>
      </c>
      <c r="V72" s="325"/>
      <c r="W72" s="326"/>
      <c r="X72" s="324">
        <v>4.4285709999999998</v>
      </c>
      <c r="Y72" s="325"/>
      <c r="Z72" s="325"/>
      <c r="AA72" s="325"/>
      <c r="AB72" s="326"/>
      <c r="AC72" s="324">
        <v>0.885714</v>
      </c>
      <c r="AD72" s="325"/>
      <c r="AE72" s="325"/>
      <c r="AF72" s="325"/>
      <c r="AG72" s="325"/>
      <c r="AH72" s="325"/>
      <c r="AI72" s="326"/>
      <c r="AJ72" s="324">
        <v>744</v>
      </c>
      <c r="AK72" s="326"/>
      <c r="AL72" s="324">
        <v>0.12</v>
      </c>
      <c r="AM72" s="325"/>
      <c r="AN72" s="326"/>
      <c r="AO72" s="327"/>
      <c r="AP72" s="328"/>
      <c r="AQ72" s="328"/>
      <c r="AR72" s="328"/>
      <c r="AS72" s="328"/>
      <c r="AT72" s="328"/>
      <c r="AU72" s="328"/>
    </row>
    <row r="73" spans="1:47" ht="15.75" thickBot="1">
      <c r="A73" s="227"/>
      <c r="B73" s="300"/>
      <c r="C73" s="300"/>
      <c r="D73" s="231">
        <v>41.4</v>
      </c>
      <c r="E73" s="329">
        <v>12.1</v>
      </c>
      <c r="F73" s="330"/>
      <c r="G73" s="324">
        <v>46.5</v>
      </c>
      <c r="H73" s="326"/>
      <c r="I73" s="324">
        <v>5.5</v>
      </c>
      <c r="J73" s="325"/>
      <c r="K73" s="326"/>
      <c r="L73" s="324">
        <v>1</v>
      </c>
      <c r="M73" s="325"/>
      <c r="N73" s="325"/>
      <c r="O73" s="325"/>
      <c r="P73" s="325"/>
      <c r="Q73" s="326"/>
      <c r="R73" s="305"/>
      <c r="S73" s="306"/>
      <c r="T73" s="307"/>
      <c r="U73" s="324">
        <v>0.5</v>
      </c>
      <c r="V73" s="325"/>
      <c r="W73" s="326"/>
      <c r="X73" s="324">
        <v>4.4285709999999998</v>
      </c>
      <c r="Y73" s="325"/>
      <c r="Z73" s="325"/>
      <c r="AA73" s="325"/>
      <c r="AB73" s="326"/>
      <c r="AC73" s="324">
        <v>2.214286</v>
      </c>
      <c r="AD73" s="325"/>
      <c r="AE73" s="325"/>
      <c r="AF73" s="325"/>
      <c r="AG73" s="325"/>
      <c r="AH73" s="325"/>
      <c r="AI73" s="326"/>
      <c r="AJ73" s="324">
        <v>744</v>
      </c>
      <c r="AK73" s="326"/>
      <c r="AL73" s="324">
        <v>0.3</v>
      </c>
      <c r="AM73" s="325"/>
      <c r="AN73" s="326"/>
      <c r="AO73" s="327"/>
      <c r="AP73" s="328"/>
      <c r="AQ73" s="328"/>
      <c r="AR73" s="328"/>
      <c r="AS73" s="328"/>
      <c r="AT73" s="328"/>
      <c r="AU73" s="328"/>
    </row>
    <row r="74" spans="1:47" ht="15.75" thickBot="1">
      <c r="A74" s="227"/>
      <c r="B74" s="300"/>
      <c r="C74" s="300"/>
      <c r="D74" s="231">
        <v>21.7</v>
      </c>
      <c r="E74" s="329">
        <v>5</v>
      </c>
      <c r="F74" s="330"/>
      <c r="G74" s="324">
        <v>73.3</v>
      </c>
      <c r="H74" s="326"/>
      <c r="I74" s="324">
        <v>4</v>
      </c>
      <c r="J74" s="325"/>
      <c r="K74" s="326"/>
      <c r="L74" s="324">
        <v>1.49</v>
      </c>
      <c r="M74" s="325"/>
      <c r="N74" s="325"/>
      <c r="O74" s="325"/>
      <c r="P74" s="325"/>
      <c r="Q74" s="326"/>
      <c r="R74" s="305"/>
      <c r="S74" s="306"/>
      <c r="T74" s="307"/>
      <c r="U74" s="324">
        <v>0.745</v>
      </c>
      <c r="V74" s="325"/>
      <c r="W74" s="326"/>
      <c r="X74" s="324">
        <v>4.4285709999999998</v>
      </c>
      <c r="Y74" s="325"/>
      <c r="Z74" s="325"/>
      <c r="AA74" s="325"/>
      <c r="AB74" s="326"/>
      <c r="AC74" s="324">
        <v>3.2992859999999999</v>
      </c>
      <c r="AD74" s="325"/>
      <c r="AE74" s="325"/>
      <c r="AF74" s="325"/>
      <c r="AG74" s="325"/>
      <c r="AH74" s="325"/>
      <c r="AI74" s="326"/>
      <c r="AJ74" s="324">
        <v>744</v>
      </c>
      <c r="AK74" s="326"/>
      <c r="AL74" s="324">
        <v>0.44</v>
      </c>
      <c r="AM74" s="325"/>
      <c r="AN74" s="326"/>
      <c r="AO74" s="327"/>
      <c r="AP74" s="328"/>
      <c r="AQ74" s="328"/>
      <c r="AR74" s="328"/>
      <c r="AS74" s="328"/>
      <c r="AT74" s="328"/>
      <c r="AU74" s="328"/>
    </row>
    <row r="75" spans="1:47" ht="15.75" thickBot="1">
      <c r="A75" s="227"/>
      <c r="B75" s="232" t="s">
        <v>814</v>
      </c>
      <c r="C75" s="230">
        <v>44972</v>
      </c>
      <c r="D75" s="231">
        <v>80.599999999999994</v>
      </c>
      <c r="E75" s="329">
        <v>15.1</v>
      </c>
      <c r="F75" s="330"/>
      <c r="G75" s="324">
        <v>4.4000000000000004</v>
      </c>
      <c r="H75" s="326"/>
      <c r="I75" s="324">
        <v>4</v>
      </c>
      <c r="J75" s="325"/>
      <c r="K75" s="326"/>
      <c r="L75" s="324">
        <v>0.25</v>
      </c>
      <c r="M75" s="325"/>
      <c r="N75" s="325"/>
      <c r="O75" s="325"/>
      <c r="P75" s="325"/>
      <c r="Q75" s="326"/>
      <c r="R75" s="305"/>
      <c r="S75" s="306"/>
      <c r="T75" s="307"/>
      <c r="U75" s="324">
        <v>0.125</v>
      </c>
      <c r="V75" s="325"/>
      <c r="W75" s="326"/>
      <c r="X75" s="324">
        <v>4</v>
      </c>
      <c r="Y75" s="325"/>
      <c r="Z75" s="325"/>
      <c r="AA75" s="325"/>
      <c r="AB75" s="326"/>
      <c r="AC75" s="324">
        <v>0.5</v>
      </c>
      <c r="AD75" s="325"/>
      <c r="AE75" s="325"/>
      <c r="AF75" s="325"/>
      <c r="AG75" s="325"/>
      <c r="AH75" s="325"/>
      <c r="AI75" s="326"/>
      <c r="AJ75" s="324">
        <v>672</v>
      </c>
      <c r="AK75" s="326"/>
      <c r="AL75" s="324">
        <v>7.0000000000000007E-2</v>
      </c>
      <c r="AM75" s="325"/>
      <c r="AN75" s="326"/>
      <c r="AO75" s="327"/>
      <c r="AP75" s="328"/>
      <c r="AQ75" s="328"/>
      <c r="AR75" s="328"/>
      <c r="AS75" s="328"/>
      <c r="AT75" s="328"/>
      <c r="AU75" s="328"/>
    </row>
    <row r="76" spans="1:47" ht="15.75" thickBot="1">
      <c r="A76" s="227"/>
      <c r="B76" s="300"/>
      <c r="C76" s="300"/>
      <c r="D76" s="231">
        <v>72</v>
      </c>
      <c r="E76" s="329">
        <v>21.6</v>
      </c>
      <c r="F76" s="330"/>
      <c r="G76" s="324">
        <v>6.4</v>
      </c>
      <c r="H76" s="326"/>
      <c r="I76" s="324">
        <v>6.3</v>
      </c>
      <c r="J76" s="325"/>
      <c r="K76" s="326"/>
      <c r="L76" s="324">
        <v>0.26</v>
      </c>
      <c r="M76" s="325"/>
      <c r="N76" s="325"/>
      <c r="O76" s="325"/>
      <c r="P76" s="325"/>
      <c r="Q76" s="326"/>
      <c r="R76" s="305"/>
      <c r="S76" s="306"/>
      <c r="T76" s="307"/>
      <c r="U76" s="324">
        <v>0.13</v>
      </c>
      <c r="V76" s="325"/>
      <c r="W76" s="326"/>
      <c r="X76" s="324">
        <v>4</v>
      </c>
      <c r="Y76" s="325"/>
      <c r="Z76" s="325"/>
      <c r="AA76" s="325"/>
      <c r="AB76" s="326"/>
      <c r="AC76" s="324">
        <v>0.52</v>
      </c>
      <c r="AD76" s="325"/>
      <c r="AE76" s="325"/>
      <c r="AF76" s="325"/>
      <c r="AG76" s="325"/>
      <c r="AH76" s="325"/>
      <c r="AI76" s="326"/>
      <c r="AJ76" s="324">
        <v>672</v>
      </c>
      <c r="AK76" s="326"/>
      <c r="AL76" s="324">
        <v>0.08</v>
      </c>
      <c r="AM76" s="325"/>
      <c r="AN76" s="326"/>
      <c r="AO76" s="327"/>
      <c r="AP76" s="328"/>
      <c r="AQ76" s="328"/>
      <c r="AR76" s="328"/>
      <c r="AS76" s="328"/>
      <c r="AT76" s="328"/>
      <c r="AU76" s="328"/>
    </row>
    <row r="77" spans="1:47" ht="15.75" thickBot="1">
      <c r="A77" s="227"/>
      <c r="B77" s="300"/>
      <c r="C77" s="300"/>
      <c r="D77" s="231">
        <v>60</v>
      </c>
      <c r="E77" s="329">
        <v>33.299999999999997</v>
      </c>
      <c r="F77" s="330"/>
      <c r="G77" s="324">
        <v>6.7</v>
      </c>
      <c r="H77" s="326"/>
      <c r="I77" s="324">
        <v>9</v>
      </c>
      <c r="J77" s="325"/>
      <c r="K77" s="326"/>
      <c r="L77" s="324">
        <v>0</v>
      </c>
      <c r="M77" s="325"/>
      <c r="N77" s="325"/>
      <c r="O77" s="325"/>
      <c r="P77" s="325"/>
      <c r="Q77" s="326"/>
      <c r="R77" s="305"/>
      <c r="S77" s="306"/>
      <c r="T77" s="307"/>
      <c r="U77" s="324">
        <v>0</v>
      </c>
      <c r="V77" s="325"/>
      <c r="W77" s="326"/>
      <c r="X77" s="324">
        <v>4</v>
      </c>
      <c r="Y77" s="325"/>
      <c r="Z77" s="325"/>
      <c r="AA77" s="325"/>
      <c r="AB77" s="326"/>
      <c r="AC77" s="324">
        <v>0</v>
      </c>
      <c r="AD77" s="325"/>
      <c r="AE77" s="325"/>
      <c r="AF77" s="325"/>
      <c r="AG77" s="325"/>
      <c r="AH77" s="325"/>
      <c r="AI77" s="326"/>
      <c r="AJ77" s="324">
        <v>672</v>
      </c>
      <c r="AK77" s="326"/>
      <c r="AL77" s="324">
        <v>0</v>
      </c>
      <c r="AM77" s="325"/>
      <c r="AN77" s="326"/>
      <c r="AO77" s="327"/>
      <c r="AP77" s="328"/>
      <c r="AQ77" s="328"/>
      <c r="AR77" s="328"/>
      <c r="AS77" s="328"/>
      <c r="AT77" s="328"/>
      <c r="AU77" s="328"/>
    </row>
    <row r="78" spans="1:47" ht="15.75" thickBot="1">
      <c r="A78" s="227"/>
      <c r="B78" s="300"/>
      <c r="C78" s="300"/>
      <c r="D78" s="231">
        <v>80.400000000000006</v>
      </c>
      <c r="E78" s="329">
        <v>11.4</v>
      </c>
      <c r="F78" s="330"/>
      <c r="G78" s="324">
        <v>8.1999999999999993</v>
      </c>
      <c r="H78" s="326"/>
      <c r="I78" s="324">
        <v>3.8</v>
      </c>
      <c r="J78" s="325"/>
      <c r="K78" s="326"/>
      <c r="L78" s="324">
        <v>0</v>
      </c>
      <c r="M78" s="325"/>
      <c r="N78" s="325"/>
      <c r="O78" s="325"/>
      <c r="P78" s="325"/>
      <c r="Q78" s="326"/>
      <c r="R78" s="305"/>
      <c r="S78" s="306"/>
      <c r="T78" s="307"/>
      <c r="U78" s="324">
        <v>0</v>
      </c>
      <c r="V78" s="325"/>
      <c r="W78" s="326"/>
      <c r="X78" s="324">
        <v>4</v>
      </c>
      <c r="Y78" s="325"/>
      <c r="Z78" s="325"/>
      <c r="AA78" s="325"/>
      <c r="AB78" s="326"/>
      <c r="AC78" s="324">
        <v>0</v>
      </c>
      <c r="AD78" s="325"/>
      <c r="AE78" s="325"/>
      <c r="AF78" s="325"/>
      <c r="AG78" s="325"/>
      <c r="AH78" s="325"/>
      <c r="AI78" s="326"/>
      <c r="AJ78" s="324">
        <v>672</v>
      </c>
      <c r="AK78" s="326"/>
      <c r="AL78" s="324">
        <v>0</v>
      </c>
      <c r="AM78" s="325"/>
      <c r="AN78" s="326"/>
      <c r="AO78" s="327"/>
      <c r="AP78" s="328"/>
      <c r="AQ78" s="328"/>
      <c r="AR78" s="328"/>
      <c r="AS78" s="328"/>
      <c r="AT78" s="328"/>
      <c r="AU78" s="328"/>
    </row>
    <row r="79" spans="1:47" ht="15.75" thickBot="1">
      <c r="A79" s="227"/>
      <c r="B79" s="300"/>
      <c r="C79" s="300"/>
      <c r="D79" s="231">
        <v>60.7</v>
      </c>
      <c r="E79" s="329">
        <v>26.1</v>
      </c>
      <c r="F79" s="330"/>
      <c r="G79" s="324">
        <v>13.3</v>
      </c>
      <c r="H79" s="326"/>
      <c r="I79" s="324">
        <v>7.4</v>
      </c>
      <c r="J79" s="325"/>
      <c r="K79" s="326"/>
      <c r="L79" s="324">
        <v>0</v>
      </c>
      <c r="M79" s="325"/>
      <c r="N79" s="325"/>
      <c r="O79" s="325"/>
      <c r="P79" s="325"/>
      <c r="Q79" s="326"/>
      <c r="R79" s="305"/>
      <c r="S79" s="306"/>
      <c r="T79" s="307"/>
      <c r="U79" s="324">
        <v>0</v>
      </c>
      <c r="V79" s="325"/>
      <c r="W79" s="326"/>
      <c r="X79" s="324">
        <v>4</v>
      </c>
      <c r="Y79" s="325"/>
      <c r="Z79" s="325"/>
      <c r="AA79" s="325"/>
      <c r="AB79" s="326"/>
      <c r="AC79" s="324">
        <v>0</v>
      </c>
      <c r="AD79" s="325"/>
      <c r="AE79" s="325"/>
      <c r="AF79" s="325"/>
      <c r="AG79" s="325"/>
      <c r="AH79" s="325"/>
      <c r="AI79" s="326"/>
      <c r="AJ79" s="324">
        <v>672</v>
      </c>
      <c r="AK79" s="326"/>
      <c r="AL79" s="324">
        <v>0</v>
      </c>
      <c r="AM79" s="325"/>
      <c r="AN79" s="326"/>
      <c r="AO79" s="327"/>
      <c r="AP79" s="328"/>
      <c r="AQ79" s="328"/>
      <c r="AR79" s="328"/>
      <c r="AS79" s="328"/>
      <c r="AT79" s="328"/>
      <c r="AU79" s="328"/>
    </row>
    <row r="80" spans="1:47" ht="15.75" thickBot="1">
      <c r="A80" s="227"/>
      <c r="B80" s="300"/>
      <c r="C80" s="300"/>
      <c r="D80" s="231">
        <v>66.099999999999994</v>
      </c>
      <c r="E80" s="329">
        <v>20.3</v>
      </c>
      <c r="F80" s="330"/>
      <c r="G80" s="324">
        <v>13.6</v>
      </c>
      <c r="H80" s="326"/>
      <c r="I80" s="324">
        <v>6.1</v>
      </c>
      <c r="J80" s="325"/>
      <c r="K80" s="326"/>
      <c r="L80" s="324">
        <v>0.28000000000000003</v>
      </c>
      <c r="M80" s="325"/>
      <c r="N80" s="325"/>
      <c r="O80" s="325"/>
      <c r="P80" s="325"/>
      <c r="Q80" s="326"/>
      <c r="R80" s="305"/>
      <c r="S80" s="306"/>
      <c r="T80" s="307"/>
      <c r="U80" s="324">
        <v>0.14000000000000001</v>
      </c>
      <c r="V80" s="325"/>
      <c r="W80" s="326"/>
      <c r="X80" s="324">
        <v>4</v>
      </c>
      <c r="Y80" s="325"/>
      <c r="Z80" s="325"/>
      <c r="AA80" s="325"/>
      <c r="AB80" s="326"/>
      <c r="AC80" s="324">
        <v>0.56000000000000005</v>
      </c>
      <c r="AD80" s="325"/>
      <c r="AE80" s="325"/>
      <c r="AF80" s="325"/>
      <c r="AG80" s="325"/>
      <c r="AH80" s="325"/>
      <c r="AI80" s="326"/>
      <c r="AJ80" s="324">
        <v>672</v>
      </c>
      <c r="AK80" s="326"/>
      <c r="AL80" s="324">
        <v>0.08</v>
      </c>
      <c r="AM80" s="325"/>
      <c r="AN80" s="326"/>
      <c r="AO80" s="327"/>
      <c r="AP80" s="328"/>
      <c r="AQ80" s="328"/>
      <c r="AR80" s="328"/>
      <c r="AS80" s="328"/>
      <c r="AT80" s="328"/>
      <c r="AU80" s="328"/>
    </row>
    <row r="81" spans="1:47" ht="15.75" thickBot="1">
      <c r="A81" s="227"/>
      <c r="B81" s="300"/>
      <c r="C81" s="300"/>
      <c r="D81" s="231">
        <v>67.599999999999994</v>
      </c>
      <c r="E81" s="329">
        <v>18.5</v>
      </c>
      <c r="F81" s="330"/>
      <c r="G81" s="324">
        <v>13.9</v>
      </c>
      <c r="H81" s="326"/>
      <c r="I81" s="324">
        <v>5.8</v>
      </c>
      <c r="J81" s="325"/>
      <c r="K81" s="326"/>
      <c r="L81" s="324">
        <v>0</v>
      </c>
      <c r="M81" s="325"/>
      <c r="N81" s="325"/>
      <c r="O81" s="325"/>
      <c r="P81" s="325"/>
      <c r="Q81" s="326"/>
      <c r="R81" s="305"/>
      <c r="S81" s="306"/>
      <c r="T81" s="307"/>
      <c r="U81" s="324">
        <v>0</v>
      </c>
      <c r="V81" s="325"/>
      <c r="W81" s="326"/>
      <c r="X81" s="324">
        <v>4</v>
      </c>
      <c r="Y81" s="325"/>
      <c r="Z81" s="325"/>
      <c r="AA81" s="325"/>
      <c r="AB81" s="326"/>
      <c r="AC81" s="324">
        <v>0</v>
      </c>
      <c r="AD81" s="325"/>
      <c r="AE81" s="325"/>
      <c r="AF81" s="325"/>
      <c r="AG81" s="325"/>
      <c r="AH81" s="325"/>
      <c r="AI81" s="326"/>
      <c r="AJ81" s="324">
        <v>672</v>
      </c>
      <c r="AK81" s="326"/>
      <c r="AL81" s="324">
        <v>0</v>
      </c>
      <c r="AM81" s="325"/>
      <c r="AN81" s="326"/>
      <c r="AO81" s="327"/>
      <c r="AP81" s="328"/>
      <c r="AQ81" s="328"/>
      <c r="AR81" s="328"/>
      <c r="AS81" s="328"/>
      <c r="AT81" s="328"/>
      <c r="AU81" s="328"/>
    </row>
    <row r="82" spans="1:47" ht="15.75" thickBot="1">
      <c r="A82" s="227"/>
      <c r="B82" s="300"/>
      <c r="C82" s="300"/>
      <c r="D82" s="231">
        <v>54.6</v>
      </c>
      <c r="E82" s="329">
        <v>22.7</v>
      </c>
      <c r="F82" s="330"/>
      <c r="G82" s="324">
        <v>22.6</v>
      </c>
      <c r="H82" s="326"/>
      <c r="I82" s="324">
        <v>6.6</v>
      </c>
      <c r="J82" s="325"/>
      <c r="K82" s="326"/>
      <c r="L82" s="324">
        <v>0.28000000000000003</v>
      </c>
      <c r="M82" s="325"/>
      <c r="N82" s="325"/>
      <c r="O82" s="325"/>
      <c r="P82" s="325"/>
      <c r="Q82" s="326"/>
      <c r="R82" s="305"/>
      <c r="S82" s="306"/>
      <c r="T82" s="307"/>
      <c r="U82" s="324">
        <v>0.14000000000000001</v>
      </c>
      <c r="V82" s="325"/>
      <c r="W82" s="326"/>
      <c r="X82" s="324">
        <v>4</v>
      </c>
      <c r="Y82" s="325"/>
      <c r="Z82" s="325"/>
      <c r="AA82" s="325"/>
      <c r="AB82" s="326"/>
      <c r="AC82" s="324">
        <v>0.56000000000000005</v>
      </c>
      <c r="AD82" s="325"/>
      <c r="AE82" s="325"/>
      <c r="AF82" s="325"/>
      <c r="AG82" s="325"/>
      <c r="AH82" s="325"/>
      <c r="AI82" s="326"/>
      <c r="AJ82" s="324">
        <v>672</v>
      </c>
      <c r="AK82" s="326"/>
      <c r="AL82" s="324">
        <v>0.08</v>
      </c>
      <c r="AM82" s="325"/>
      <c r="AN82" s="326"/>
      <c r="AO82" s="327"/>
      <c r="AP82" s="328"/>
      <c r="AQ82" s="328"/>
      <c r="AR82" s="328"/>
      <c r="AS82" s="328"/>
      <c r="AT82" s="328"/>
      <c r="AU82" s="328"/>
    </row>
    <row r="83" spans="1:47" ht="15.75" thickBot="1">
      <c r="A83" s="227"/>
      <c r="B83" s="300"/>
      <c r="C83" s="300"/>
      <c r="D83" s="231">
        <v>52.9</v>
      </c>
      <c r="E83" s="329">
        <v>23.5</v>
      </c>
      <c r="F83" s="330"/>
      <c r="G83" s="324">
        <v>23.5</v>
      </c>
      <c r="H83" s="326"/>
      <c r="I83" s="324">
        <v>7.1</v>
      </c>
      <c r="J83" s="325"/>
      <c r="K83" s="326"/>
      <c r="L83" s="324">
        <v>0.24</v>
      </c>
      <c r="M83" s="325"/>
      <c r="N83" s="325"/>
      <c r="O83" s="325"/>
      <c r="P83" s="325"/>
      <c r="Q83" s="326"/>
      <c r="R83" s="305"/>
      <c r="S83" s="306"/>
      <c r="T83" s="307"/>
      <c r="U83" s="324">
        <v>0.12</v>
      </c>
      <c r="V83" s="325"/>
      <c r="W83" s="326"/>
      <c r="X83" s="324">
        <v>4</v>
      </c>
      <c r="Y83" s="325"/>
      <c r="Z83" s="325"/>
      <c r="AA83" s="325"/>
      <c r="AB83" s="326"/>
      <c r="AC83" s="324">
        <v>0.48</v>
      </c>
      <c r="AD83" s="325"/>
      <c r="AE83" s="325"/>
      <c r="AF83" s="325"/>
      <c r="AG83" s="325"/>
      <c r="AH83" s="325"/>
      <c r="AI83" s="326"/>
      <c r="AJ83" s="324">
        <v>672</v>
      </c>
      <c r="AK83" s="326"/>
      <c r="AL83" s="324">
        <v>7.0000000000000007E-2</v>
      </c>
      <c r="AM83" s="325"/>
      <c r="AN83" s="326"/>
      <c r="AO83" s="327"/>
      <c r="AP83" s="328"/>
      <c r="AQ83" s="328"/>
      <c r="AR83" s="328"/>
      <c r="AS83" s="328"/>
      <c r="AT83" s="328"/>
      <c r="AU83" s="328"/>
    </row>
    <row r="84" spans="1:47" ht="15.75" thickBot="1">
      <c r="A84" s="227"/>
      <c r="B84" s="300"/>
      <c r="C84" s="300"/>
      <c r="D84" s="231">
        <v>51.7</v>
      </c>
      <c r="E84" s="329">
        <v>19.2</v>
      </c>
      <c r="F84" s="330"/>
      <c r="G84" s="324">
        <v>29.1</v>
      </c>
      <c r="H84" s="326"/>
      <c r="I84" s="324">
        <v>5</v>
      </c>
      <c r="J84" s="325"/>
      <c r="K84" s="326"/>
      <c r="L84" s="324">
        <v>0.22</v>
      </c>
      <c r="M84" s="325"/>
      <c r="N84" s="325"/>
      <c r="O84" s="325"/>
      <c r="P84" s="325"/>
      <c r="Q84" s="326"/>
      <c r="R84" s="305"/>
      <c r="S84" s="306"/>
      <c r="T84" s="307"/>
      <c r="U84" s="324">
        <v>0.11</v>
      </c>
      <c r="V84" s="325"/>
      <c r="W84" s="326"/>
      <c r="X84" s="324">
        <v>4</v>
      </c>
      <c r="Y84" s="325"/>
      <c r="Z84" s="325"/>
      <c r="AA84" s="325"/>
      <c r="AB84" s="326"/>
      <c r="AC84" s="324">
        <v>0.44</v>
      </c>
      <c r="AD84" s="325"/>
      <c r="AE84" s="325"/>
      <c r="AF84" s="325"/>
      <c r="AG84" s="325"/>
      <c r="AH84" s="325"/>
      <c r="AI84" s="326"/>
      <c r="AJ84" s="324">
        <v>672</v>
      </c>
      <c r="AK84" s="326"/>
      <c r="AL84" s="324">
        <v>7.0000000000000007E-2</v>
      </c>
      <c r="AM84" s="325"/>
      <c r="AN84" s="326"/>
      <c r="AO84" s="327"/>
      <c r="AP84" s="328"/>
      <c r="AQ84" s="328"/>
      <c r="AR84" s="328"/>
      <c r="AS84" s="328"/>
      <c r="AT84" s="328"/>
      <c r="AU84" s="328"/>
    </row>
    <row r="85" spans="1:47" ht="15.75" thickBot="1">
      <c r="A85" s="227"/>
      <c r="B85" s="300"/>
      <c r="C85" s="300"/>
      <c r="D85" s="231">
        <v>45.1</v>
      </c>
      <c r="E85" s="329">
        <v>19.5</v>
      </c>
      <c r="F85" s="330"/>
      <c r="G85" s="324">
        <v>35.5</v>
      </c>
      <c r="H85" s="326"/>
      <c r="I85" s="324">
        <v>5.6</v>
      </c>
      <c r="J85" s="325"/>
      <c r="K85" s="326"/>
      <c r="L85" s="324">
        <v>0.21</v>
      </c>
      <c r="M85" s="325"/>
      <c r="N85" s="325"/>
      <c r="O85" s="325"/>
      <c r="P85" s="325"/>
      <c r="Q85" s="326"/>
      <c r="R85" s="305"/>
      <c r="S85" s="306"/>
      <c r="T85" s="307"/>
      <c r="U85" s="324">
        <v>0.105</v>
      </c>
      <c r="V85" s="325"/>
      <c r="W85" s="326"/>
      <c r="X85" s="324">
        <v>4</v>
      </c>
      <c r="Y85" s="325"/>
      <c r="Z85" s="325"/>
      <c r="AA85" s="325"/>
      <c r="AB85" s="326"/>
      <c r="AC85" s="324">
        <v>0.42</v>
      </c>
      <c r="AD85" s="325"/>
      <c r="AE85" s="325"/>
      <c r="AF85" s="325"/>
      <c r="AG85" s="325"/>
      <c r="AH85" s="325"/>
      <c r="AI85" s="326"/>
      <c r="AJ85" s="324">
        <v>672</v>
      </c>
      <c r="AK85" s="326"/>
      <c r="AL85" s="324">
        <v>0.06</v>
      </c>
      <c r="AM85" s="325"/>
      <c r="AN85" s="326"/>
      <c r="AO85" s="327"/>
      <c r="AP85" s="328"/>
      <c r="AQ85" s="328"/>
      <c r="AR85" s="328"/>
      <c r="AS85" s="328"/>
      <c r="AT85" s="328"/>
      <c r="AU85" s="328"/>
    </row>
    <row r="86" spans="1:47" ht="15.75" thickBot="1">
      <c r="A86" s="227"/>
      <c r="B86" s="300"/>
      <c r="C86" s="300"/>
      <c r="D86" s="231">
        <v>44.7</v>
      </c>
      <c r="E86" s="329">
        <v>17.8</v>
      </c>
      <c r="F86" s="330"/>
      <c r="G86" s="324">
        <v>37.5</v>
      </c>
      <c r="H86" s="326"/>
      <c r="I86" s="324">
        <v>7.6</v>
      </c>
      <c r="J86" s="325"/>
      <c r="K86" s="326"/>
      <c r="L86" s="324">
        <v>0.26</v>
      </c>
      <c r="M86" s="325"/>
      <c r="N86" s="325"/>
      <c r="O86" s="325"/>
      <c r="P86" s="325"/>
      <c r="Q86" s="326"/>
      <c r="R86" s="305"/>
      <c r="S86" s="306"/>
      <c r="T86" s="307"/>
      <c r="U86" s="324">
        <v>0.13</v>
      </c>
      <c r="V86" s="325"/>
      <c r="W86" s="326"/>
      <c r="X86" s="324">
        <v>4</v>
      </c>
      <c r="Y86" s="325"/>
      <c r="Z86" s="325"/>
      <c r="AA86" s="325"/>
      <c r="AB86" s="326"/>
      <c r="AC86" s="324">
        <v>0.52</v>
      </c>
      <c r="AD86" s="325"/>
      <c r="AE86" s="325"/>
      <c r="AF86" s="325"/>
      <c r="AG86" s="325"/>
      <c r="AH86" s="325"/>
      <c r="AI86" s="326"/>
      <c r="AJ86" s="324">
        <v>672</v>
      </c>
      <c r="AK86" s="326"/>
      <c r="AL86" s="324">
        <v>0.08</v>
      </c>
      <c r="AM86" s="325"/>
      <c r="AN86" s="326"/>
      <c r="AO86" s="327"/>
      <c r="AP86" s="328"/>
      <c r="AQ86" s="328"/>
      <c r="AR86" s="328"/>
      <c r="AS86" s="328"/>
      <c r="AT86" s="328"/>
      <c r="AU86" s="328"/>
    </row>
    <row r="87" spans="1:47" ht="15.75" thickBot="1">
      <c r="A87" s="227"/>
      <c r="B87" s="300"/>
      <c r="C87" s="300"/>
      <c r="D87" s="231">
        <v>46.2</v>
      </c>
      <c r="E87" s="329">
        <v>13.8</v>
      </c>
      <c r="F87" s="330"/>
      <c r="G87" s="324">
        <v>40</v>
      </c>
      <c r="H87" s="326"/>
      <c r="I87" s="324">
        <v>6.6</v>
      </c>
      <c r="J87" s="325"/>
      <c r="K87" s="326"/>
      <c r="L87" s="324">
        <v>0.55000000000000004</v>
      </c>
      <c r="M87" s="325"/>
      <c r="N87" s="325"/>
      <c r="O87" s="325"/>
      <c r="P87" s="325"/>
      <c r="Q87" s="326"/>
      <c r="R87" s="305"/>
      <c r="S87" s="306"/>
      <c r="T87" s="307"/>
      <c r="U87" s="324">
        <v>0.27500000000000002</v>
      </c>
      <c r="V87" s="325"/>
      <c r="W87" s="326"/>
      <c r="X87" s="324">
        <v>4</v>
      </c>
      <c r="Y87" s="325"/>
      <c r="Z87" s="325"/>
      <c r="AA87" s="325"/>
      <c r="AB87" s="326"/>
      <c r="AC87" s="324">
        <v>1.1000000000000001</v>
      </c>
      <c r="AD87" s="325"/>
      <c r="AE87" s="325"/>
      <c r="AF87" s="325"/>
      <c r="AG87" s="325"/>
      <c r="AH87" s="325"/>
      <c r="AI87" s="326"/>
      <c r="AJ87" s="324">
        <v>672</v>
      </c>
      <c r="AK87" s="326"/>
      <c r="AL87" s="324">
        <v>0.16</v>
      </c>
      <c r="AM87" s="325"/>
      <c r="AN87" s="326"/>
      <c r="AO87" s="327"/>
      <c r="AP87" s="328"/>
      <c r="AQ87" s="328"/>
      <c r="AR87" s="328"/>
      <c r="AS87" s="328"/>
      <c r="AT87" s="328"/>
      <c r="AU87" s="328"/>
    </row>
    <row r="88" spans="1:47" ht="15.75" thickBot="1">
      <c r="A88" s="227"/>
      <c r="B88" s="300"/>
      <c r="C88" s="300"/>
      <c r="D88" s="231">
        <v>40</v>
      </c>
      <c r="E88" s="329">
        <v>9.5</v>
      </c>
      <c r="F88" s="330"/>
      <c r="G88" s="324">
        <v>50.5</v>
      </c>
      <c r="H88" s="326"/>
      <c r="I88" s="324">
        <v>5</v>
      </c>
      <c r="J88" s="325"/>
      <c r="K88" s="326"/>
      <c r="L88" s="324">
        <v>0.21</v>
      </c>
      <c r="M88" s="325"/>
      <c r="N88" s="325"/>
      <c r="O88" s="325"/>
      <c r="P88" s="325"/>
      <c r="Q88" s="326"/>
      <c r="R88" s="305"/>
      <c r="S88" s="306"/>
      <c r="T88" s="307"/>
      <c r="U88" s="324">
        <v>0.105</v>
      </c>
      <c r="V88" s="325"/>
      <c r="W88" s="326"/>
      <c r="X88" s="324">
        <v>4</v>
      </c>
      <c r="Y88" s="325"/>
      <c r="Z88" s="325"/>
      <c r="AA88" s="325"/>
      <c r="AB88" s="326"/>
      <c r="AC88" s="324">
        <v>0.42</v>
      </c>
      <c r="AD88" s="325"/>
      <c r="AE88" s="325"/>
      <c r="AF88" s="325"/>
      <c r="AG88" s="325"/>
      <c r="AH88" s="325"/>
      <c r="AI88" s="326"/>
      <c r="AJ88" s="324">
        <v>672</v>
      </c>
      <c r="AK88" s="326"/>
      <c r="AL88" s="324">
        <v>0.06</v>
      </c>
      <c r="AM88" s="325"/>
      <c r="AN88" s="326"/>
      <c r="AO88" s="327"/>
      <c r="AP88" s="328"/>
      <c r="AQ88" s="328"/>
      <c r="AR88" s="328"/>
      <c r="AS88" s="328"/>
      <c r="AT88" s="328"/>
      <c r="AU88" s="328"/>
    </row>
    <row r="89" spans="1:47" ht="15.75" thickBot="1">
      <c r="A89" s="227"/>
      <c r="B89" s="300"/>
      <c r="C89" s="300"/>
      <c r="D89" s="231">
        <v>36.4</v>
      </c>
      <c r="E89" s="329">
        <v>9.6999999999999993</v>
      </c>
      <c r="F89" s="330"/>
      <c r="G89" s="324">
        <v>53.9</v>
      </c>
      <c r="H89" s="326"/>
      <c r="I89" s="324">
        <v>5.2</v>
      </c>
      <c r="J89" s="325"/>
      <c r="K89" s="326"/>
      <c r="L89" s="324">
        <v>0.21</v>
      </c>
      <c r="M89" s="325"/>
      <c r="N89" s="325"/>
      <c r="O89" s="325"/>
      <c r="P89" s="325"/>
      <c r="Q89" s="326"/>
      <c r="R89" s="305"/>
      <c r="S89" s="306"/>
      <c r="T89" s="307"/>
      <c r="U89" s="324">
        <v>0.105</v>
      </c>
      <c r="V89" s="325"/>
      <c r="W89" s="326"/>
      <c r="X89" s="324">
        <v>4</v>
      </c>
      <c r="Y89" s="325"/>
      <c r="Z89" s="325"/>
      <c r="AA89" s="325"/>
      <c r="AB89" s="326"/>
      <c r="AC89" s="324">
        <v>0.42</v>
      </c>
      <c r="AD89" s="325"/>
      <c r="AE89" s="325"/>
      <c r="AF89" s="325"/>
      <c r="AG89" s="325"/>
      <c r="AH89" s="325"/>
      <c r="AI89" s="326"/>
      <c r="AJ89" s="324">
        <v>672</v>
      </c>
      <c r="AK89" s="326"/>
      <c r="AL89" s="324">
        <v>0.06</v>
      </c>
      <c r="AM89" s="325"/>
      <c r="AN89" s="326"/>
      <c r="AO89" s="327"/>
      <c r="AP89" s="328"/>
      <c r="AQ89" s="328"/>
      <c r="AR89" s="328"/>
      <c r="AS89" s="328"/>
      <c r="AT89" s="328"/>
      <c r="AU89" s="328"/>
    </row>
    <row r="90" spans="1:47" ht="15.75" thickBot="1">
      <c r="A90" s="227"/>
      <c r="B90" s="300"/>
      <c r="C90" s="300"/>
      <c r="D90" s="231">
        <v>27.5</v>
      </c>
      <c r="E90" s="329">
        <v>12.9</v>
      </c>
      <c r="F90" s="330"/>
      <c r="G90" s="324">
        <v>59.6</v>
      </c>
      <c r="H90" s="326"/>
      <c r="I90" s="324">
        <v>3.1</v>
      </c>
      <c r="J90" s="325"/>
      <c r="K90" s="326"/>
      <c r="L90" s="324">
        <v>0.42</v>
      </c>
      <c r="M90" s="325"/>
      <c r="N90" s="325"/>
      <c r="O90" s="325"/>
      <c r="P90" s="325"/>
      <c r="Q90" s="326"/>
      <c r="R90" s="305"/>
      <c r="S90" s="306"/>
      <c r="T90" s="307"/>
      <c r="U90" s="324">
        <v>0.21</v>
      </c>
      <c r="V90" s="325"/>
      <c r="W90" s="326"/>
      <c r="X90" s="324">
        <v>4</v>
      </c>
      <c r="Y90" s="325"/>
      <c r="Z90" s="325"/>
      <c r="AA90" s="325"/>
      <c r="AB90" s="326"/>
      <c r="AC90" s="324">
        <v>0.84</v>
      </c>
      <c r="AD90" s="325"/>
      <c r="AE90" s="325"/>
      <c r="AF90" s="325"/>
      <c r="AG90" s="325"/>
      <c r="AH90" s="325"/>
      <c r="AI90" s="326"/>
      <c r="AJ90" s="324">
        <v>672</v>
      </c>
      <c r="AK90" s="326"/>
      <c r="AL90" s="324">
        <v>0.13</v>
      </c>
      <c r="AM90" s="325"/>
      <c r="AN90" s="326"/>
      <c r="AO90" s="327"/>
      <c r="AP90" s="328"/>
      <c r="AQ90" s="328"/>
      <c r="AR90" s="328"/>
      <c r="AS90" s="328"/>
      <c r="AT90" s="328"/>
      <c r="AU90" s="328"/>
    </row>
    <row r="91" spans="1:47" ht="15.75" thickBot="1">
      <c r="A91" s="227"/>
      <c r="B91" s="300"/>
      <c r="C91" s="300"/>
      <c r="D91" s="231">
        <v>26.6</v>
      </c>
      <c r="E91" s="329">
        <v>4.5</v>
      </c>
      <c r="F91" s="330"/>
      <c r="G91" s="324">
        <v>68.900000000000006</v>
      </c>
      <c r="H91" s="326"/>
      <c r="I91" s="324">
        <v>4.0999999999999996</v>
      </c>
      <c r="J91" s="325"/>
      <c r="K91" s="326"/>
      <c r="L91" s="324">
        <v>1.65</v>
      </c>
      <c r="M91" s="325"/>
      <c r="N91" s="325"/>
      <c r="O91" s="325"/>
      <c r="P91" s="325"/>
      <c r="Q91" s="326"/>
      <c r="R91" s="305"/>
      <c r="S91" s="306"/>
      <c r="T91" s="307"/>
      <c r="U91" s="324">
        <v>0.82499999999999996</v>
      </c>
      <c r="V91" s="325"/>
      <c r="W91" s="326"/>
      <c r="X91" s="324">
        <v>4</v>
      </c>
      <c r="Y91" s="325"/>
      <c r="Z91" s="325"/>
      <c r="AA91" s="325"/>
      <c r="AB91" s="326"/>
      <c r="AC91" s="324">
        <v>3.3</v>
      </c>
      <c r="AD91" s="325"/>
      <c r="AE91" s="325"/>
      <c r="AF91" s="325"/>
      <c r="AG91" s="325"/>
      <c r="AH91" s="325"/>
      <c r="AI91" s="326"/>
      <c r="AJ91" s="324">
        <v>672</v>
      </c>
      <c r="AK91" s="326"/>
      <c r="AL91" s="324">
        <v>0.49</v>
      </c>
      <c r="AM91" s="325"/>
      <c r="AN91" s="326"/>
      <c r="AO91" s="327"/>
      <c r="AP91" s="328"/>
      <c r="AQ91" s="328"/>
      <c r="AR91" s="328"/>
      <c r="AS91" s="328"/>
      <c r="AT91" s="328"/>
      <c r="AU91" s="328"/>
    </row>
    <row r="92" spans="1:47" ht="15.75" thickBot="1">
      <c r="A92" s="227"/>
      <c r="B92" s="300"/>
      <c r="C92" s="300"/>
      <c r="D92" s="231">
        <v>15.3</v>
      </c>
      <c r="E92" s="329">
        <v>2</v>
      </c>
      <c r="F92" s="330"/>
      <c r="G92" s="324">
        <v>82.7</v>
      </c>
      <c r="H92" s="326"/>
      <c r="I92" s="324">
        <v>3.4</v>
      </c>
      <c r="J92" s="325"/>
      <c r="K92" s="326"/>
      <c r="L92" s="324">
        <v>1.29</v>
      </c>
      <c r="M92" s="325"/>
      <c r="N92" s="325"/>
      <c r="O92" s="325"/>
      <c r="P92" s="325"/>
      <c r="Q92" s="326"/>
      <c r="R92" s="305"/>
      <c r="S92" s="306"/>
      <c r="T92" s="307"/>
      <c r="U92" s="324">
        <v>0.64500000000000002</v>
      </c>
      <c r="V92" s="325"/>
      <c r="W92" s="326"/>
      <c r="X92" s="324">
        <v>4</v>
      </c>
      <c r="Y92" s="325"/>
      <c r="Z92" s="325"/>
      <c r="AA92" s="325"/>
      <c r="AB92" s="326"/>
      <c r="AC92" s="324">
        <v>2.58</v>
      </c>
      <c r="AD92" s="325"/>
      <c r="AE92" s="325"/>
      <c r="AF92" s="325"/>
      <c r="AG92" s="325"/>
      <c r="AH92" s="325"/>
      <c r="AI92" s="326"/>
      <c r="AJ92" s="324">
        <v>672</v>
      </c>
      <c r="AK92" s="326"/>
      <c r="AL92" s="324">
        <v>0.38</v>
      </c>
      <c r="AM92" s="325"/>
      <c r="AN92" s="326"/>
      <c r="AO92" s="327"/>
      <c r="AP92" s="328"/>
      <c r="AQ92" s="328"/>
      <c r="AR92" s="328"/>
      <c r="AS92" s="328"/>
      <c r="AT92" s="328"/>
      <c r="AU92" s="328"/>
    </row>
    <row r="93" spans="1:47" ht="15.75" thickBot="1">
      <c r="A93" s="227"/>
      <c r="B93" s="300"/>
      <c r="C93" s="300"/>
      <c r="D93" s="231">
        <v>7.1</v>
      </c>
      <c r="E93" s="329">
        <v>0</v>
      </c>
      <c r="F93" s="330"/>
      <c r="G93" s="324">
        <v>92.9</v>
      </c>
      <c r="H93" s="326"/>
      <c r="I93" s="324">
        <v>0.4</v>
      </c>
      <c r="J93" s="325"/>
      <c r="K93" s="326"/>
      <c r="L93" s="324">
        <v>1.25</v>
      </c>
      <c r="M93" s="325"/>
      <c r="N93" s="325"/>
      <c r="O93" s="325"/>
      <c r="P93" s="325"/>
      <c r="Q93" s="326"/>
      <c r="R93" s="305"/>
      <c r="S93" s="306"/>
      <c r="T93" s="307"/>
      <c r="U93" s="324">
        <v>0.625</v>
      </c>
      <c r="V93" s="325"/>
      <c r="W93" s="326"/>
      <c r="X93" s="324">
        <v>4</v>
      </c>
      <c r="Y93" s="325"/>
      <c r="Z93" s="325"/>
      <c r="AA93" s="325"/>
      <c r="AB93" s="326"/>
      <c r="AC93" s="324">
        <v>2.5</v>
      </c>
      <c r="AD93" s="325"/>
      <c r="AE93" s="325"/>
      <c r="AF93" s="325"/>
      <c r="AG93" s="325"/>
      <c r="AH93" s="325"/>
      <c r="AI93" s="326"/>
      <c r="AJ93" s="324">
        <v>672</v>
      </c>
      <c r="AK93" s="326"/>
      <c r="AL93" s="324">
        <v>0.37</v>
      </c>
      <c r="AM93" s="325"/>
      <c r="AN93" s="326"/>
      <c r="AO93" s="327"/>
      <c r="AP93" s="328"/>
      <c r="AQ93" s="328"/>
      <c r="AR93" s="328"/>
      <c r="AS93" s="328"/>
      <c r="AT93" s="328"/>
      <c r="AU93" s="328"/>
    </row>
    <row r="94" spans="1:47" ht="15.75" thickBot="1">
      <c r="A94" s="227"/>
      <c r="B94" s="300"/>
      <c r="C94" s="300"/>
      <c r="D94" s="231">
        <v>4.5</v>
      </c>
      <c r="E94" s="329">
        <v>1.2</v>
      </c>
      <c r="F94" s="330"/>
      <c r="G94" s="324">
        <v>94.3</v>
      </c>
      <c r="H94" s="326"/>
      <c r="I94" s="324">
        <v>0.9</v>
      </c>
      <c r="J94" s="325"/>
      <c r="K94" s="326"/>
      <c r="L94" s="324">
        <v>0.85</v>
      </c>
      <c r="M94" s="325"/>
      <c r="N94" s="325"/>
      <c r="O94" s="325"/>
      <c r="P94" s="325"/>
      <c r="Q94" s="326"/>
      <c r="R94" s="305"/>
      <c r="S94" s="306"/>
      <c r="T94" s="307"/>
      <c r="U94" s="324">
        <v>0.42499999999999999</v>
      </c>
      <c r="V94" s="325"/>
      <c r="W94" s="326"/>
      <c r="X94" s="324">
        <v>4</v>
      </c>
      <c r="Y94" s="325"/>
      <c r="Z94" s="325"/>
      <c r="AA94" s="325"/>
      <c r="AB94" s="326"/>
      <c r="AC94" s="324">
        <v>1.7</v>
      </c>
      <c r="AD94" s="325"/>
      <c r="AE94" s="325"/>
      <c r="AF94" s="325"/>
      <c r="AG94" s="325"/>
      <c r="AH94" s="325"/>
      <c r="AI94" s="326"/>
      <c r="AJ94" s="324">
        <v>672</v>
      </c>
      <c r="AK94" s="326"/>
      <c r="AL94" s="324">
        <v>0.25</v>
      </c>
      <c r="AM94" s="325"/>
      <c r="AN94" s="326"/>
      <c r="AO94" s="327"/>
      <c r="AP94" s="328"/>
      <c r="AQ94" s="328"/>
      <c r="AR94" s="328"/>
      <c r="AS94" s="328"/>
      <c r="AT94" s="328"/>
      <c r="AU94" s="328"/>
    </row>
    <row r="95" spans="1:47" ht="15.75" thickBot="1">
      <c r="A95" s="227"/>
      <c r="B95" s="232" t="s">
        <v>815</v>
      </c>
      <c r="C95" s="230">
        <v>45000</v>
      </c>
      <c r="D95" s="231">
        <v>17.399999999999999</v>
      </c>
      <c r="E95" s="329">
        <v>4.0999999999999996</v>
      </c>
      <c r="F95" s="330"/>
      <c r="G95" s="324">
        <v>78.5</v>
      </c>
      <c r="H95" s="326"/>
      <c r="I95" s="324">
        <v>2.2000000000000002</v>
      </c>
      <c r="J95" s="325"/>
      <c r="K95" s="326"/>
      <c r="L95" s="324">
        <v>0</v>
      </c>
      <c r="M95" s="325"/>
      <c r="N95" s="325"/>
      <c r="O95" s="325"/>
      <c r="P95" s="325"/>
      <c r="Q95" s="326"/>
      <c r="R95" s="305"/>
      <c r="S95" s="306"/>
      <c r="T95" s="307"/>
      <c r="U95" s="324">
        <v>0</v>
      </c>
      <c r="V95" s="325"/>
      <c r="W95" s="326"/>
      <c r="X95" s="324">
        <v>4.4285709999999998</v>
      </c>
      <c r="Y95" s="325"/>
      <c r="Z95" s="325"/>
      <c r="AA95" s="325"/>
      <c r="AB95" s="326"/>
      <c r="AC95" s="324">
        <v>0</v>
      </c>
      <c r="AD95" s="325"/>
      <c r="AE95" s="325"/>
      <c r="AF95" s="325"/>
      <c r="AG95" s="325"/>
      <c r="AH95" s="325"/>
      <c r="AI95" s="326"/>
      <c r="AJ95" s="324">
        <v>744</v>
      </c>
      <c r="AK95" s="326"/>
      <c r="AL95" s="324">
        <v>0</v>
      </c>
      <c r="AM95" s="325"/>
      <c r="AN95" s="326"/>
      <c r="AO95" s="327"/>
      <c r="AP95" s="328"/>
      <c r="AQ95" s="328"/>
      <c r="AR95" s="328"/>
      <c r="AS95" s="328"/>
      <c r="AT95" s="328"/>
      <c r="AU95" s="328"/>
    </row>
    <row r="96" spans="1:47" ht="15.75" thickBot="1">
      <c r="A96" s="227"/>
      <c r="B96" s="300"/>
      <c r="C96" s="300"/>
      <c r="D96" s="231">
        <v>2.5</v>
      </c>
      <c r="E96" s="329">
        <v>1.1000000000000001</v>
      </c>
      <c r="F96" s="330"/>
      <c r="G96" s="324">
        <v>96.5</v>
      </c>
      <c r="H96" s="326"/>
      <c r="I96" s="324">
        <v>0.7</v>
      </c>
      <c r="J96" s="325"/>
      <c r="K96" s="326"/>
      <c r="L96" s="324">
        <v>0.12</v>
      </c>
      <c r="M96" s="325"/>
      <c r="N96" s="325"/>
      <c r="O96" s="325"/>
      <c r="P96" s="325"/>
      <c r="Q96" s="326"/>
      <c r="R96" s="305"/>
      <c r="S96" s="306"/>
      <c r="T96" s="307"/>
      <c r="U96" s="324">
        <v>0.06</v>
      </c>
      <c r="V96" s="325"/>
      <c r="W96" s="326"/>
      <c r="X96" s="324">
        <v>4.4285709999999998</v>
      </c>
      <c r="Y96" s="325"/>
      <c r="Z96" s="325"/>
      <c r="AA96" s="325"/>
      <c r="AB96" s="326"/>
      <c r="AC96" s="324">
        <v>0.26571400000000001</v>
      </c>
      <c r="AD96" s="325"/>
      <c r="AE96" s="325"/>
      <c r="AF96" s="325"/>
      <c r="AG96" s="325"/>
      <c r="AH96" s="325"/>
      <c r="AI96" s="326"/>
      <c r="AJ96" s="324">
        <v>744</v>
      </c>
      <c r="AK96" s="326"/>
      <c r="AL96" s="324">
        <v>0.04</v>
      </c>
      <c r="AM96" s="325"/>
      <c r="AN96" s="326"/>
      <c r="AO96" s="327"/>
      <c r="AP96" s="328"/>
      <c r="AQ96" s="328"/>
      <c r="AR96" s="328"/>
      <c r="AS96" s="328"/>
      <c r="AT96" s="328"/>
      <c r="AU96" s="328"/>
    </row>
    <row r="97" spans="1:47" ht="15.75" thickBot="1">
      <c r="A97" s="227"/>
      <c r="B97" s="300"/>
      <c r="C97" s="300"/>
      <c r="D97" s="231">
        <v>1.1000000000000001</v>
      </c>
      <c r="E97" s="329">
        <v>1.1000000000000001</v>
      </c>
      <c r="F97" s="330"/>
      <c r="G97" s="324">
        <v>97.9</v>
      </c>
      <c r="H97" s="326"/>
      <c r="I97" s="324">
        <v>0.2</v>
      </c>
      <c r="J97" s="325"/>
      <c r="K97" s="326"/>
      <c r="L97" s="324">
        <v>0.12</v>
      </c>
      <c r="M97" s="325"/>
      <c r="N97" s="325"/>
      <c r="O97" s="325"/>
      <c r="P97" s="325"/>
      <c r="Q97" s="326"/>
      <c r="R97" s="305"/>
      <c r="S97" s="306"/>
      <c r="T97" s="307"/>
      <c r="U97" s="324">
        <v>0.06</v>
      </c>
      <c r="V97" s="325"/>
      <c r="W97" s="326"/>
      <c r="X97" s="324">
        <v>4.4285709999999998</v>
      </c>
      <c r="Y97" s="325"/>
      <c r="Z97" s="325"/>
      <c r="AA97" s="325"/>
      <c r="AB97" s="326"/>
      <c r="AC97" s="324">
        <v>0.26571400000000001</v>
      </c>
      <c r="AD97" s="325"/>
      <c r="AE97" s="325"/>
      <c r="AF97" s="325"/>
      <c r="AG97" s="325"/>
      <c r="AH97" s="325"/>
      <c r="AI97" s="326"/>
      <c r="AJ97" s="324">
        <v>744</v>
      </c>
      <c r="AK97" s="326"/>
      <c r="AL97" s="324">
        <v>0.04</v>
      </c>
      <c r="AM97" s="325"/>
      <c r="AN97" s="326"/>
      <c r="AO97" s="327"/>
      <c r="AP97" s="328"/>
      <c r="AQ97" s="328"/>
      <c r="AR97" s="328"/>
      <c r="AS97" s="328"/>
      <c r="AT97" s="328"/>
      <c r="AU97" s="328"/>
    </row>
    <row r="98" spans="1:47" ht="15.75" thickBot="1">
      <c r="A98" s="227"/>
      <c r="B98" s="300"/>
      <c r="C98" s="300"/>
      <c r="D98" s="231">
        <v>1.8</v>
      </c>
      <c r="E98" s="329">
        <v>0</v>
      </c>
      <c r="F98" s="330"/>
      <c r="G98" s="324">
        <v>98.2</v>
      </c>
      <c r="H98" s="326"/>
      <c r="I98" s="324">
        <v>0.4</v>
      </c>
      <c r="J98" s="325"/>
      <c r="K98" s="326"/>
      <c r="L98" s="324">
        <v>0</v>
      </c>
      <c r="M98" s="325"/>
      <c r="N98" s="325"/>
      <c r="O98" s="325"/>
      <c r="P98" s="325"/>
      <c r="Q98" s="326"/>
      <c r="R98" s="305"/>
      <c r="S98" s="306"/>
      <c r="T98" s="307"/>
      <c r="U98" s="324">
        <v>0</v>
      </c>
      <c r="V98" s="325"/>
      <c r="W98" s="326"/>
      <c r="X98" s="324">
        <v>4.4285709999999998</v>
      </c>
      <c r="Y98" s="325"/>
      <c r="Z98" s="325"/>
      <c r="AA98" s="325"/>
      <c r="AB98" s="326"/>
      <c r="AC98" s="324">
        <v>0</v>
      </c>
      <c r="AD98" s="325"/>
      <c r="AE98" s="325"/>
      <c r="AF98" s="325"/>
      <c r="AG98" s="325"/>
      <c r="AH98" s="325"/>
      <c r="AI98" s="326"/>
      <c r="AJ98" s="324">
        <v>744</v>
      </c>
      <c r="AK98" s="326"/>
      <c r="AL98" s="324">
        <v>0</v>
      </c>
      <c r="AM98" s="325"/>
      <c r="AN98" s="326"/>
      <c r="AO98" s="327"/>
      <c r="AP98" s="328"/>
      <c r="AQ98" s="328"/>
      <c r="AR98" s="328"/>
      <c r="AS98" s="328"/>
      <c r="AT98" s="328"/>
      <c r="AU98" s="328"/>
    </row>
    <row r="99" spans="1:47" ht="15.75" thickBot="1">
      <c r="A99" s="227"/>
      <c r="B99" s="300"/>
      <c r="C99" s="300"/>
      <c r="D99" s="231">
        <v>1</v>
      </c>
      <c r="E99" s="329">
        <v>0</v>
      </c>
      <c r="F99" s="330"/>
      <c r="G99" s="324">
        <v>99</v>
      </c>
      <c r="H99" s="326"/>
      <c r="I99" s="324">
        <v>0.1</v>
      </c>
      <c r="J99" s="325"/>
      <c r="K99" s="326"/>
      <c r="L99" s="324">
        <v>0</v>
      </c>
      <c r="M99" s="325"/>
      <c r="N99" s="325"/>
      <c r="O99" s="325"/>
      <c r="P99" s="325"/>
      <c r="Q99" s="326"/>
      <c r="R99" s="305"/>
      <c r="S99" s="306"/>
      <c r="T99" s="307"/>
      <c r="U99" s="324">
        <v>0</v>
      </c>
      <c r="V99" s="325"/>
      <c r="W99" s="326"/>
      <c r="X99" s="324">
        <v>4.4285709999999998</v>
      </c>
      <c r="Y99" s="325"/>
      <c r="Z99" s="325"/>
      <c r="AA99" s="325"/>
      <c r="AB99" s="326"/>
      <c r="AC99" s="324">
        <v>0</v>
      </c>
      <c r="AD99" s="325"/>
      <c r="AE99" s="325"/>
      <c r="AF99" s="325"/>
      <c r="AG99" s="325"/>
      <c r="AH99" s="325"/>
      <c r="AI99" s="326"/>
      <c r="AJ99" s="324">
        <v>744</v>
      </c>
      <c r="AK99" s="326"/>
      <c r="AL99" s="324">
        <v>0</v>
      </c>
      <c r="AM99" s="325"/>
      <c r="AN99" s="326"/>
      <c r="AO99" s="327"/>
      <c r="AP99" s="328"/>
      <c r="AQ99" s="328"/>
      <c r="AR99" s="328"/>
      <c r="AS99" s="328"/>
      <c r="AT99" s="328"/>
      <c r="AU99" s="328"/>
    </row>
    <row r="100" spans="1:47" ht="15.75" thickBot="1">
      <c r="A100" s="227"/>
      <c r="B100" s="300"/>
      <c r="C100" s="300"/>
      <c r="D100" s="231">
        <v>1</v>
      </c>
      <c r="E100" s="329">
        <v>0</v>
      </c>
      <c r="F100" s="330"/>
      <c r="G100" s="324">
        <v>99</v>
      </c>
      <c r="H100" s="326"/>
      <c r="I100" s="324">
        <v>0.2</v>
      </c>
      <c r="J100" s="325"/>
      <c r="K100" s="326"/>
      <c r="L100" s="324">
        <v>0</v>
      </c>
      <c r="M100" s="325"/>
      <c r="N100" s="325"/>
      <c r="O100" s="325"/>
      <c r="P100" s="325"/>
      <c r="Q100" s="326"/>
      <c r="R100" s="305"/>
      <c r="S100" s="306"/>
      <c r="T100" s="307"/>
      <c r="U100" s="324">
        <v>0</v>
      </c>
      <c r="V100" s="325"/>
      <c r="W100" s="326"/>
      <c r="X100" s="324">
        <v>4.4285709999999998</v>
      </c>
      <c r="Y100" s="325"/>
      <c r="Z100" s="325"/>
      <c r="AA100" s="325"/>
      <c r="AB100" s="326"/>
      <c r="AC100" s="324">
        <v>0</v>
      </c>
      <c r="AD100" s="325"/>
      <c r="AE100" s="325"/>
      <c r="AF100" s="325"/>
      <c r="AG100" s="325"/>
      <c r="AH100" s="325"/>
      <c r="AI100" s="326"/>
      <c r="AJ100" s="324">
        <v>744</v>
      </c>
      <c r="AK100" s="326"/>
      <c r="AL100" s="324">
        <v>0</v>
      </c>
      <c r="AM100" s="325"/>
      <c r="AN100" s="326"/>
      <c r="AO100" s="327"/>
      <c r="AP100" s="328"/>
      <c r="AQ100" s="328"/>
      <c r="AR100" s="328"/>
      <c r="AS100" s="328"/>
      <c r="AT100" s="328"/>
      <c r="AU100" s="328"/>
    </row>
    <row r="101" spans="1:47" ht="15.75" thickBot="1">
      <c r="A101" s="227"/>
      <c r="B101" s="300"/>
      <c r="C101" s="300"/>
      <c r="D101" s="231">
        <v>0.2</v>
      </c>
      <c r="E101" s="329">
        <v>0</v>
      </c>
      <c r="F101" s="330"/>
      <c r="G101" s="324">
        <v>99.8</v>
      </c>
      <c r="H101" s="326"/>
      <c r="I101" s="324">
        <v>0</v>
      </c>
      <c r="J101" s="325"/>
      <c r="K101" s="326"/>
      <c r="L101" s="324">
        <v>0.12</v>
      </c>
      <c r="M101" s="325"/>
      <c r="N101" s="325"/>
      <c r="O101" s="325"/>
      <c r="P101" s="325"/>
      <c r="Q101" s="326"/>
      <c r="R101" s="305"/>
      <c r="S101" s="306"/>
      <c r="T101" s="307"/>
      <c r="U101" s="324">
        <v>0.06</v>
      </c>
      <c r="V101" s="325"/>
      <c r="W101" s="326"/>
      <c r="X101" s="324">
        <v>4.4285709999999998</v>
      </c>
      <c r="Y101" s="325"/>
      <c r="Z101" s="325"/>
      <c r="AA101" s="325"/>
      <c r="AB101" s="326"/>
      <c r="AC101" s="324">
        <v>0.26571400000000001</v>
      </c>
      <c r="AD101" s="325"/>
      <c r="AE101" s="325"/>
      <c r="AF101" s="325"/>
      <c r="AG101" s="325"/>
      <c r="AH101" s="325"/>
      <c r="AI101" s="326"/>
      <c r="AJ101" s="324">
        <v>744</v>
      </c>
      <c r="AK101" s="326"/>
      <c r="AL101" s="324">
        <v>0.04</v>
      </c>
      <c r="AM101" s="325"/>
      <c r="AN101" s="326"/>
      <c r="AO101" s="327"/>
      <c r="AP101" s="328"/>
      <c r="AQ101" s="328"/>
      <c r="AR101" s="328"/>
      <c r="AS101" s="328"/>
      <c r="AT101" s="328"/>
      <c r="AU101" s="328"/>
    </row>
    <row r="102" spans="1:47" ht="15.75" thickBot="1">
      <c r="A102" s="227"/>
      <c r="B102" s="232" t="s">
        <v>816</v>
      </c>
      <c r="C102" s="230">
        <v>45275</v>
      </c>
      <c r="D102" s="231">
        <v>76</v>
      </c>
      <c r="E102" s="329">
        <v>17</v>
      </c>
      <c r="F102" s="330"/>
      <c r="G102" s="324">
        <v>6.9</v>
      </c>
      <c r="H102" s="326"/>
      <c r="I102" s="324">
        <v>4.7</v>
      </c>
      <c r="J102" s="325"/>
      <c r="K102" s="326"/>
      <c r="L102" s="324">
        <v>0.43</v>
      </c>
      <c r="M102" s="325"/>
      <c r="N102" s="325"/>
      <c r="O102" s="325"/>
      <c r="P102" s="325"/>
      <c r="Q102" s="326"/>
      <c r="R102" s="305"/>
      <c r="S102" s="306"/>
      <c r="T102" s="307"/>
      <c r="U102" s="324">
        <v>0.215</v>
      </c>
      <c r="V102" s="325"/>
      <c r="W102" s="326"/>
      <c r="X102" s="324">
        <v>4.4285709999999998</v>
      </c>
      <c r="Y102" s="325"/>
      <c r="Z102" s="325"/>
      <c r="AA102" s="325"/>
      <c r="AB102" s="326"/>
      <c r="AC102" s="324">
        <v>0.95214299999999996</v>
      </c>
      <c r="AD102" s="325"/>
      <c r="AE102" s="325"/>
      <c r="AF102" s="325"/>
      <c r="AG102" s="325"/>
      <c r="AH102" s="325"/>
      <c r="AI102" s="326"/>
      <c r="AJ102" s="324">
        <v>744</v>
      </c>
      <c r="AK102" s="326"/>
      <c r="AL102" s="324">
        <v>0.13</v>
      </c>
      <c r="AM102" s="325"/>
      <c r="AN102" s="326"/>
      <c r="AO102" s="327"/>
      <c r="AP102" s="328"/>
      <c r="AQ102" s="328"/>
      <c r="AR102" s="328"/>
      <c r="AS102" s="328"/>
      <c r="AT102" s="328"/>
      <c r="AU102" s="328"/>
    </row>
    <row r="103" spans="1:47" ht="15.75" thickBot="1">
      <c r="A103" s="227"/>
      <c r="B103" s="300"/>
      <c r="C103" s="300"/>
      <c r="D103" s="231">
        <v>66.5</v>
      </c>
      <c r="E103" s="329">
        <v>24.7</v>
      </c>
      <c r="F103" s="330"/>
      <c r="G103" s="324">
        <v>8.6999999999999993</v>
      </c>
      <c r="H103" s="326"/>
      <c r="I103" s="324">
        <v>8.1</v>
      </c>
      <c r="J103" s="325"/>
      <c r="K103" s="326"/>
      <c r="L103" s="324">
        <v>0</v>
      </c>
      <c r="M103" s="325"/>
      <c r="N103" s="325"/>
      <c r="O103" s="325"/>
      <c r="P103" s="325"/>
      <c r="Q103" s="326"/>
      <c r="R103" s="305"/>
      <c r="S103" s="306"/>
      <c r="T103" s="307"/>
      <c r="U103" s="324">
        <v>0</v>
      </c>
      <c r="V103" s="325"/>
      <c r="W103" s="326"/>
      <c r="X103" s="324">
        <v>4.4285709999999998</v>
      </c>
      <c r="Y103" s="325"/>
      <c r="Z103" s="325"/>
      <c r="AA103" s="325"/>
      <c r="AB103" s="326"/>
      <c r="AC103" s="324">
        <v>0</v>
      </c>
      <c r="AD103" s="325"/>
      <c r="AE103" s="325"/>
      <c r="AF103" s="325"/>
      <c r="AG103" s="325"/>
      <c r="AH103" s="325"/>
      <c r="AI103" s="326"/>
      <c r="AJ103" s="324">
        <v>744</v>
      </c>
      <c r="AK103" s="326"/>
      <c r="AL103" s="324">
        <v>0</v>
      </c>
      <c r="AM103" s="325"/>
      <c r="AN103" s="326"/>
      <c r="AO103" s="327"/>
      <c r="AP103" s="328"/>
      <c r="AQ103" s="328"/>
      <c r="AR103" s="328"/>
      <c r="AS103" s="328"/>
      <c r="AT103" s="328"/>
      <c r="AU103" s="328"/>
    </row>
    <row r="104" spans="1:47" ht="15.75" thickBot="1">
      <c r="A104" s="227"/>
      <c r="B104" s="300"/>
      <c r="C104" s="300"/>
      <c r="D104" s="231">
        <v>57.3</v>
      </c>
      <c r="E104" s="329">
        <v>19.7</v>
      </c>
      <c r="F104" s="330"/>
      <c r="G104" s="324">
        <v>23</v>
      </c>
      <c r="H104" s="326"/>
      <c r="I104" s="324">
        <v>6.2</v>
      </c>
      <c r="J104" s="325"/>
      <c r="K104" s="326"/>
      <c r="L104" s="324">
        <v>0.56999999999999995</v>
      </c>
      <c r="M104" s="325"/>
      <c r="N104" s="325"/>
      <c r="O104" s="325"/>
      <c r="P104" s="325"/>
      <c r="Q104" s="326"/>
      <c r="R104" s="305"/>
      <c r="S104" s="306"/>
      <c r="T104" s="307"/>
      <c r="U104" s="324">
        <v>0.28499999999999998</v>
      </c>
      <c r="V104" s="325"/>
      <c r="W104" s="326"/>
      <c r="X104" s="324">
        <v>4.4285709999999998</v>
      </c>
      <c r="Y104" s="325"/>
      <c r="Z104" s="325"/>
      <c r="AA104" s="325"/>
      <c r="AB104" s="326"/>
      <c r="AC104" s="324">
        <v>1.262143</v>
      </c>
      <c r="AD104" s="325"/>
      <c r="AE104" s="325"/>
      <c r="AF104" s="325"/>
      <c r="AG104" s="325"/>
      <c r="AH104" s="325"/>
      <c r="AI104" s="326"/>
      <c r="AJ104" s="324">
        <v>744</v>
      </c>
      <c r="AK104" s="326"/>
      <c r="AL104" s="324">
        <v>0.17</v>
      </c>
      <c r="AM104" s="325"/>
      <c r="AN104" s="326"/>
      <c r="AO104" s="327"/>
      <c r="AP104" s="328"/>
      <c r="AQ104" s="328"/>
      <c r="AR104" s="328"/>
      <c r="AS104" s="328"/>
      <c r="AT104" s="328"/>
      <c r="AU104" s="328"/>
    </row>
    <row r="105" spans="1:47" ht="15.75" thickBot="1">
      <c r="A105" s="227"/>
      <c r="B105" s="300"/>
      <c r="C105" s="300"/>
      <c r="D105" s="231">
        <v>35.6</v>
      </c>
      <c r="E105" s="329">
        <v>12.1</v>
      </c>
      <c r="F105" s="330"/>
      <c r="G105" s="324">
        <v>52.3</v>
      </c>
      <c r="H105" s="326"/>
      <c r="I105" s="324">
        <v>4</v>
      </c>
      <c r="J105" s="325"/>
      <c r="K105" s="326"/>
      <c r="L105" s="324">
        <v>0.9</v>
      </c>
      <c r="M105" s="325"/>
      <c r="N105" s="325"/>
      <c r="O105" s="325"/>
      <c r="P105" s="325"/>
      <c r="Q105" s="326"/>
      <c r="R105" s="305"/>
      <c r="S105" s="306"/>
      <c r="T105" s="307"/>
      <c r="U105" s="324">
        <v>0.45</v>
      </c>
      <c r="V105" s="325"/>
      <c r="W105" s="326"/>
      <c r="X105" s="324">
        <v>4.4285709999999998</v>
      </c>
      <c r="Y105" s="325"/>
      <c r="Z105" s="325"/>
      <c r="AA105" s="325"/>
      <c r="AB105" s="326"/>
      <c r="AC105" s="324">
        <v>1.9928570000000001</v>
      </c>
      <c r="AD105" s="325"/>
      <c r="AE105" s="325"/>
      <c r="AF105" s="325"/>
      <c r="AG105" s="325"/>
      <c r="AH105" s="325"/>
      <c r="AI105" s="326"/>
      <c r="AJ105" s="324">
        <v>744</v>
      </c>
      <c r="AK105" s="326"/>
      <c r="AL105" s="324">
        <v>0.27</v>
      </c>
      <c r="AM105" s="325"/>
      <c r="AN105" s="326"/>
      <c r="AO105" s="327"/>
      <c r="AP105" s="328"/>
      <c r="AQ105" s="328"/>
      <c r="AR105" s="328"/>
      <c r="AS105" s="328"/>
      <c r="AT105" s="328"/>
      <c r="AU105" s="328"/>
    </row>
    <row r="106" spans="1:47" ht="15.75" thickBot="1">
      <c r="A106" s="227"/>
      <c r="B106" s="300"/>
      <c r="C106" s="300"/>
      <c r="D106" s="231">
        <v>10.8</v>
      </c>
      <c r="E106" s="329">
        <v>0</v>
      </c>
      <c r="F106" s="330"/>
      <c r="G106" s="324">
        <v>89.2</v>
      </c>
      <c r="H106" s="326"/>
      <c r="I106" s="324">
        <v>1.5</v>
      </c>
      <c r="J106" s="325"/>
      <c r="K106" s="326"/>
      <c r="L106" s="324">
        <v>1.5</v>
      </c>
      <c r="M106" s="325"/>
      <c r="N106" s="325"/>
      <c r="O106" s="325"/>
      <c r="P106" s="325"/>
      <c r="Q106" s="326"/>
      <c r="R106" s="305"/>
      <c r="S106" s="306"/>
      <c r="T106" s="307"/>
      <c r="U106" s="324">
        <v>0.75</v>
      </c>
      <c r="V106" s="325"/>
      <c r="W106" s="326"/>
      <c r="X106" s="324">
        <v>4.4285709999999998</v>
      </c>
      <c r="Y106" s="325"/>
      <c r="Z106" s="325"/>
      <c r="AA106" s="325"/>
      <c r="AB106" s="326"/>
      <c r="AC106" s="324">
        <v>3.3214290000000002</v>
      </c>
      <c r="AD106" s="325"/>
      <c r="AE106" s="325"/>
      <c r="AF106" s="325"/>
      <c r="AG106" s="325"/>
      <c r="AH106" s="325"/>
      <c r="AI106" s="326"/>
      <c r="AJ106" s="324">
        <v>744</v>
      </c>
      <c r="AK106" s="326"/>
      <c r="AL106" s="324">
        <v>0.45</v>
      </c>
      <c r="AM106" s="325"/>
      <c r="AN106" s="326"/>
      <c r="AO106" s="327"/>
      <c r="AP106" s="328"/>
      <c r="AQ106" s="328"/>
      <c r="AR106" s="328"/>
      <c r="AS106" s="328"/>
      <c r="AT106" s="328"/>
      <c r="AU106" s="328"/>
    </row>
    <row r="107" spans="1:47" ht="15.75" thickBot="1">
      <c r="A107" s="227"/>
      <c r="B107" s="232" t="s">
        <v>817</v>
      </c>
      <c r="C107" s="230">
        <v>44942</v>
      </c>
      <c r="D107" s="231">
        <v>77.5</v>
      </c>
      <c r="E107" s="329">
        <v>22.5</v>
      </c>
      <c r="F107" s="330"/>
      <c r="G107" s="324">
        <v>0</v>
      </c>
      <c r="H107" s="326"/>
      <c r="I107" s="324">
        <v>7.1</v>
      </c>
      <c r="J107" s="325"/>
      <c r="K107" s="326"/>
      <c r="L107" s="324">
        <v>0</v>
      </c>
      <c r="M107" s="325"/>
      <c r="N107" s="325"/>
      <c r="O107" s="325"/>
      <c r="P107" s="325"/>
      <c r="Q107" s="326"/>
      <c r="R107" s="305"/>
      <c r="S107" s="306"/>
      <c r="T107" s="307"/>
      <c r="U107" s="324">
        <v>0</v>
      </c>
      <c r="V107" s="325"/>
      <c r="W107" s="326"/>
      <c r="X107" s="324">
        <v>4.4285709999999998</v>
      </c>
      <c r="Y107" s="325"/>
      <c r="Z107" s="325"/>
      <c r="AA107" s="325"/>
      <c r="AB107" s="326"/>
      <c r="AC107" s="324">
        <v>0</v>
      </c>
      <c r="AD107" s="325"/>
      <c r="AE107" s="325"/>
      <c r="AF107" s="325"/>
      <c r="AG107" s="325"/>
      <c r="AH107" s="325"/>
      <c r="AI107" s="326"/>
      <c r="AJ107" s="324">
        <v>744</v>
      </c>
      <c r="AK107" s="326"/>
      <c r="AL107" s="324">
        <v>0</v>
      </c>
      <c r="AM107" s="325"/>
      <c r="AN107" s="326"/>
      <c r="AO107" s="327"/>
      <c r="AP107" s="328"/>
      <c r="AQ107" s="328"/>
      <c r="AR107" s="328"/>
      <c r="AS107" s="328"/>
      <c r="AT107" s="328"/>
      <c r="AU107" s="328"/>
    </row>
    <row r="108" spans="1:47" ht="15.75" thickBot="1">
      <c r="A108" s="227"/>
      <c r="B108" s="300"/>
      <c r="C108" s="300"/>
      <c r="D108" s="231">
        <v>78.5</v>
      </c>
      <c r="E108" s="329">
        <v>18</v>
      </c>
      <c r="F108" s="330"/>
      <c r="G108" s="324">
        <v>3.5</v>
      </c>
      <c r="H108" s="326"/>
      <c r="I108" s="324">
        <v>6.2</v>
      </c>
      <c r="J108" s="325"/>
      <c r="K108" s="326"/>
      <c r="L108" s="324">
        <v>0</v>
      </c>
      <c r="M108" s="325"/>
      <c r="N108" s="325"/>
      <c r="O108" s="325"/>
      <c r="P108" s="325"/>
      <c r="Q108" s="326"/>
      <c r="R108" s="305"/>
      <c r="S108" s="306"/>
      <c r="T108" s="307"/>
      <c r="U108" s="324">
        <v>0</v>
      </c>
      <c r="V108" s="325"/>
      <c r="W108" s="326"/>
      <c r="X108" s="324">
        <v>4.4285709999999998</v>
      </c>
      <c r="Y108" s="325"/>
      <c r="Z108" s="325"/>
      <c r="AA108" s="325"/>
      <c r="AB108" s="326"/>
      <c r="AC108" s="324">
        <v>0</v>
      </c>
      <c r="AD108" s="325"/>
      <c r="AE108" s="325"/>
      <c r="AF108" s="325"/>
      <c r="AG108" s="325"/>
      <c r="AH108" s="325"/>
      <c r="AI108" s="326"/>
      <c r="AJ108" s="324">
        <v>744</v>
      </c>
      <c r="AK108" s="326"/>
      <c r="AL108" s="324">
        <v>0</v>
      </c>
      <c r="AM108" s="325"/>
      <c r="AN108" s="326"/>
      <c r="AO108" s="327"/>
      <c r="AP108" s="328"/>
      <c r="AQ108" s="328"/>
      <c r="AR108" s="328"/>
      <c r="AS108" s="328"/>
      <c r="AT108" s="328"/>
      <c r="AU108" s="328"/>
    </row>
    <row r="109" spans="1:47" ht="15.75" thickBot="1">
      <c r="A109" s="227"/>
      <c r="B109" s="300"/>
      <c r="C109" s="300"/>
      <c r="D109" s="231">
        <v>64.2</v>
      </c>
      <c r="E109" s="329">
        <v>23.1</v>
      </c>
      <c r="F109" s="330"/>
      <c r="G109" s="324">
        <v>12.7</v>
      </c>
      <c r="H109" s="326"/>
      <c r="I109" s="324">
        <v>8.1999999999999993</v>
      </c>
      <c r="J109" s="325"/>
      <c r="K109" s="326"/>
      <c r="L109" s="324">
        <v>0.22</v>
      </c>
      <c r="M109" s="325"/>
      <c r="N109" s="325"/>
      <c r="O109" s="325"/>
      <c r="P109" s="325"/>
      <c r="Q109" s="326"/>
      <c r="R109" s="305"/>
      <c r="S109" s="306"/>
      <c r="T109" s="307"/>
      <c r="U109" s="324">
        <v>0.11</v>
      </c>
      <c r="V109" s="325"/>
      <c r="W109" s="326"/>
      <c r="X109" s="324">
        <v>4.4285709999999998</v>
      </c>
      <c r="Y109" s="325"/>
      <c r="Z109" s="325"/>
      <c r="AA109" s="325"/>
      <c r="AB109" s="326"/>
      <c r="AC109" s="324">
        <v>0.48714299999999999</v>
      </c>
      <c r="AD109" s="325"/>
      <c r="AE109" s="325"/>
      <c r="AF109" s="325"/>
      <c r="AG109" s="325"/>
      <c r="AH109" s="325"/>
      <c r="AI109" s="326"/>
      <c r="AJ109" s="324">
        <v>744</v>
      </c>
      <c r="AK109" s="326"/>
      <c r="AL109" s="324">
        <v>7.0000000000000007E-2</v>
      </c>
      <c r="AM109" s="325"/>
      <c r="AN109" s="326"/>
      <c r="AO109" s="327"/>
      <c r="AP109" s="328"/>
      <c r="AQ109" s="328"/>
      <c r="AR109" s="328"/>
      <c r="AS109" s="328"/>
      <c r="AT109" s="328"/>
      <c r="AU109" s="328"/>
    </row>
    <row r="110" spans="1:47" ht="15.75" thickBot="1">
      <c r="A110" s="227"/>
      <c r="B110" s="300"/>
      <c r="C110" s="300"/>
      <c r="D110" s="231">
        <v>46.2</v>
      </c>
      <c r="E110" s="329">
        <v>12.7</v>
      </c>
      <c r="F110" s="330"/>
      <c r="G110" s="324">
        <v>41.1</v>
      </c>
      <c r="H110" s="326"/>
      <c r="I110" s="324">
        <v>6.6</v>
      </c>
      <c r="J110" s="325"/>
      <c r="K110" s="326"/>
      <c r="L110" s="324">
        <v>0.23</v>
      </c>
      <c r="M110" s="325"/>
      <c r="N110" s="325"/>
      <c r="O110" s="325"/>
      <c r="P110" s="325"/>
      <c r="Q110" s="326"/>
      <c r="R110" s="305"/>
      <c r="S110" s="306"/>
      <c r="T110" s="307"/>
      <c r="U110" s="324">
        <v>0.115</v>
      </c>
      <c r="V110" s="325"/>
      <c r="W110" s="326"/>
      <c r="X110" s="324">
        <v>4.4285709999999998</v>
      </c>
      <c r="Y110" s="325"/>
      <c r="Z110" s="325"/>
      <c r="AA110" s="325"/>
      <c r="AB110" s="326"/>
      <c r="AC110" s="324">
        <v>0.50928600000000002</v>
      </c>
      <c r="AD110" s="325"/>
      <c r="AE110" s="325"/>
      <c r="AF110" s="325"/>
      <c r="AG110" s="325"/>
      <c r="AH110" s="325"/>
      <c r="AI110" s="326"/>
      <c r="AJ110" s="324">
        <v>744</v>
      </c>
      <c r="AK110" s="326"/>
      <c r="AL110" s="324">
        <v>7.0000000000000007E-2</v>
      </c>
      <c r="AM110" s="325"/>
      <c r="AN110" s="326"/>
      <c r="AO110" s="327"/>
      <c r="AP110" s="328"/>
      <c r="AQ110" s="328"/>
      <c r="AR110" s="328"/>
      <c r="AS110" s="328"/>
      <c r="AT110" s="328"/>
      <c r="AU110" s="328"/>
    </row>
    <row r="111" spans="1:47" ht="15.75" thickBot="1">
      <c r="A111" s="227"/>
      <c r="B111" s="300"/>
      <c r="C111" s="300"/>
      <c r="D111" s="231">
        <v>32.4</v>
      </c>
      <c r="E111" s="329">
        <v>2.4</v>
      </c>
      <c r="F111" s="330"/>
      <c r="G111" s="324">
        <v>65.2</v>
      </c>
      <c r="H111" s="326"/>
      <c r="I111" s="324">
        <v>4.8</v>
      </c>
      <c r="J111" s="325"/>
      <c r="K111" s="326"/>
      <c r="L111" s="324">
        <v>1.1299999999999999</v>
      </c>
      <c r="M111" s="325"/>
      <c r="N111" s="325"/>
      <c r="O111" s="325"/>
      <c r="P111" s="325"/>
      <c r="Q111" s="326"/>
      <c r="R111" s="305"/>
      <c r="S111" s="306"/>
      <c r="T111" s="307"/>
      <c r="U111" s="324">
        <v>0.56499999999999995</v>
      </c>
      <c r="V111" s="325"/>
      <c r="W111" s="326"/>
      <c r="X111" s="324">
        <v>4.4285709999999998</v>
      </c>
      <c r="Y111" s="325"/>
      <c r="Z111" s="325"/>
      <c r="AA111" s="325"/>
      <c r="AB111" s="326"/>
      <c r="AC111" s="324">
        <v>2.5021429999999998</v>
      </c>
      <c r="AD111" s="325"/>
      <c r="AE111" s="325"/>
      <c r="AF111" s="325"/>
      <c r="AG111" s="325"/>
      <c r="AH111" s="325"/>
      <c r="AI111" s="326"/>
      <c r="AJ111" s="324">
        <v>744</v>
      </c>
      <c r="AK111" s="326"/>
      <c r="AL111" s="324">
        <v>0.34</v>
      </c>
      <c r="AM111" s="325"/>
      <c r="AN111" s="326"/>
      <c r="AO111" s="327"/>
      <c r="AP111" s="328"/>
      <c r="AQ111" s="328"/>
      <c r="AR111" s="328"/>
      <c r="AS111" s="328"/>
      <c r="AT111" s="328"/>
      <c r="AU111" s="328"/>
    </row>
    <row r="112" spans="1:47" ht="15.75" thickBot="1">
      <c r="A112" s="227"/>
      <c r="B112" s="232" t="s">
        <v>818</v>
      </c>
      <c r="C112" s="230">
        <v>44973</v>
      </c>
      <c r="D112" s="231">
        <v>79.3</v>
      </c>
      <c r="E112" s="329">
        <v>20.7</v>
      </c>
      <c r="F112" s="330"/>
      <c r="G112" s="324">
        <v>0</v>
      </c>
      <c r="H112" s="326"/>
      <c r="I112" s="324">
        <v>6.1</v>
      </c>
      <c r="J112" s="325"/>
      <c r="K112" s="326"/>
      <c r="L112" s="324">
        <v>0</v>
      </c>
      <c r="M112" s="325"/>
      <c r="N112" s="325"/>
      <c r="O112" s="325"/>
      <c r="P112" s="325"/>
      <c r="Q112" s="326"/>
      <c r="R112" s="305"/>
      <c r="S112" s="306"/>
      <c r="T112" s="307"/>
      <c r="U112" s="324">
        <v>0</v>
      </c>
      <c r="V112" s="325"/>
      <c r="W112" s="326"/>
      <c r="X112" s="324">
        <v>4</v>
      </c>
      <c r="Y112" s="325"/>
      <c r="Z112" s="325"/>
      <c r="AA112" s="325"/>
      <c r="AB112" s="326"/>
      <c r="AC112" s="324">
        <v>0</v>
      </c>
      <c r="AD112" s="325"/>
      <c r="AE112" s="325"/>
      <c r="AF112" s="325"/>
      <c r="AG112" s="325"/>
      <c r="AH112" s="325"/>
      <c r="AI112" s="326"/>
      <c r="AJ112" s="324">
        <v>672</v>
      </c>
      <c r="AK112" s="326"/>
      <c r="AL112" s="324">
        <v>0</v>
      </c>
      <c r="AM112" s="325"/>
      <c r="AN112" s="326"/>
      <c r="AO112" s="327"/>
      <c r="AP112" s="328"/>
      <c r="AQ112" s="328"/>
      <c r="AR112" s="328"/>
      <c r="AS112" s="328"/>
      <c r="AT112" s="328"/>
      <c r="AU112" s="328"/>
    </row>
    <row r="113" spans="1:47" ht="15.75" thickBot="1">
      <c r="A113" s="227"/>
      <c r="B113" s="300"/>
      <c r="C113" s="300"/>
      <c r="D113" s="231">
        <v>72.599999999999994</v>
      </c>
      <c r="E113" s="329">
        <v>24</v>
      </c>
      <c r="F113" s="330"/>
      <c r="G113" s="324">
        <v>3.4</v>
      </c>
      <c r="H113" s="326"/>
      <c r="I113" s="324">
        <v>6.8</v>
      </c>
      <c r="J113" s="325"/>
      <c r="K113" s="326"/>
      <c r="L113" s="324">
        <v>0</v>
      </c>
      <c r="M113" s="325"/>
      <c r="N113" s="325"/>
      <c r="O113" s="325"/>
      <c r="P113" s="325"/>
      <c r="Q113" s="326"/>
      <c r="R113" s="305"/>
      <c r="S113" s="306"/>
      <c r="T113" s="307"/>
      <c r="U113" s="324">
        <v>0</v>
      </c>
      <c r="V113" s="325"/>
      <c r="W113" s="326"/>
      <c r="X113" s="324">
        <v>4</v>
      </c>
      <c r="Y113" s="325"/>
      <c r="Z113" s="325"/>
      <c r="AA113" s="325"/>
      <c r="AB113" s="326"/>
      <c r="AC113" s="324">
        <v>0</v>
      </c>
      <c r="AD113" s="325"/>
      <c r="AE113" s="325"/>
      <c r="AF113" s="325"/>
      <c r="AG113" s="325"/>
      <c r="AH113" s="325"/>
      <c r="AI113" s="326"/>
      <c r="AJ113" s="324">
        <v>672</v>
      </c>
      <c r="AK113" s="326"/>
      <c r="AL113" s="324">
        <v>0</v>
      </c>
      <c r="AM113" s="325"/>
      <c r="AN113" s="326"/>
      <c r="AO113" s="327"/>
      <c r="AP113" s="328"/>
      <c r="AQ113" s="328"/>
      <c r="AR113" s="328"/>
      <c r="AS113" s="328"/>
      <c r="AT113" s="328"/>
      <c r="AU113" s="328"/>
    </row>
    <row r="114" spans="1:47" ht="15.75" thickBot="1">
      <c r="A114" s="227"/>
      <c r="B114" s="300"/>
      <c r="C114" s="300"/>
      <c r="D114" s="231">
        <v>47.3</v>
      </c>
      <c r="E114" s="329">
        <v>22</v>
      </c>
      <c r="F114" s="330"/>
      <c r="G114" s="324">
        <v>30.7</v>
      </c>
      <c r="H114" s="326"/>
      <c r="I114" s="324">
        <v>6.4</v>
      </c>
      <c r="J114" s="325"/>
      <c r="K114" s="326"/>
      <c r="L114" s="324">
        <v>0.73</v>
      </c>
      <c r="M114" s="325"/>
      <c r="N114" s="325"/>
      <c r="O114" s="325"/>
      <c r="P114" s="325"/>
      <c r="Q114" s="326"/>
      <c r="R114" s="305"/>
      <c r="S114" s="306"/>
      <c r="T114" s="307"/>
      <c r="U114" s="324">
        <v>0.36499999999999999</v>
      </c>
      <c r="V114" s="325"/>
      <c r="W114" s="326"/>
      <c r="X114" s="324">
        <v>4</v>
      </c>
      <c r="Y114" s="325"/>
      <c r="Z114" s="325"/>
      <c r="AA114" s="325"/>
      <c r="AB114" s="326"/>
      <c r="AC114" s="324">
        <v>1.46</v>
      </c>
      <c r="AD114" s="325"/>
      <c r="AE114" s="325"/>
      <c r="AF114" s="325"/>
      <c r="AG114" s="325"/>
      <c r="AH114" s="325"/>
      <c r="AI114" s="326"/>
      <c r="AJ114" s="324">
        <v>672</v>
      </c>
      <c r="AK114" s="326"/>
      <c r="AL114" s="324">
        <v>0.22</v>
      </c>
      <c r="AM114" s="325"/>
      <c r="AN114" s="326"/>
      <c r="AO114" s="327"/>
      <c r="AP114" s="328"/>
      <c r="AQ114" s="328"/>
      <c r="AR114" s="328"/>
      <c r="AS114" s="328"/>
      <c r="AT114" s="328"/>
      <c r="AU114" s="328"/>
    </row>
    <row r="115" spans="1:47" ht="15.75" thickBot="1">
      <c r="A115" s="227"/>
      <c r="B115" s="300"/>
      <c r="C115" s="300"/>
      <c r="D115" s="231">
        <v>47.3</v>
      </c>
      <c r="E115" s="329">
        <v>16.399999999999999</v>
      </c>
      <c r="F115" s="330"/>
      <c r="G115" s="324">
        <v>36.299999999999997</v>
      </c>
      <c r="H115" s="326"/>
      <c r="I115" s="324">
        <v>6</v>
      </c>
      <c r="J115" s="325"/>
      <c r="K115" s="326"/>
      <c r="L115" s="324">
        <v>0.23</v>
      </c>
      <c r="M115" s="325"/>
      <c r="N115" s="325"/>
      <c r="O115" s="325"/>
      <c r="P115" s="325"/>
      <c r="Q115" s="326"/>
      <c r="R115" s="305"/>
      <c r="S115" s="306"/>
      <c r="T115" s="307"/>
      <c r="U115" s="324">
        <v>0.115</v>
      </c>
      <c r="V115" s="325"/>
      <c r="W115" s="326"/>
      <c r="X115" s="324">
        <v>4</v>
      </c>
      <c r="Y115" s="325"/>
      <c r="Z115" s="325"/>
      <c r="AA115" s="325"/>
      <c r="AB115" s="326"/>
      <c r="AC115" s="324">
        <v>0.46</v>
      </c>
      <c r="AD115" s="325"/>
      <c r="AE115" s="325"/>
      <c r="AF115" s="325"/>
      <c r="AG115" s="325"/>
      <c r="AH115" s="325"/>
      <c r="AI115" s="326"/>
      <c r="AJ115" s="324">
        <v>672</v>
      </c>
      <c r="AK115" s="326"/>
      <c r="AL115" s="324">
        <v>7.0000000000000007E-2</v>
      </c>
      <c r="AM115" s="325"/>
      <c r="AN115" s="326"/>
      <c r="AO115" s="327"/>
      <c r="AP115" s="328"/>
      <c r="AQ115" s="328"/>
      <c r="AR115" s="328"/>
      <c r="AS115" s="328"/>
      <c r="AT115" s="328"/>
      <c r="AU115" s="328"/>
    </row>
    <row r="116" spans="1:47" ht="15.75" thickBot="1">
      <c r="A116" s="227"/>
      <c r="B116" s="300"/>
      <c r="C116" s="300"/>
      <c r="D116" s="231">
        <v>40.299999999999997</v>
      </c>
      <c r="E116" s="329">
        <v>10.1</v>
      </c>
      <c r="F116" s="330"/>
      <c r="G116" s="324">
        <v>49.6</v>
      </c>
      <c r="H116" s="326"/>
      <c r="I116" s="324">
        <v>5.2</v>
      </c>
      <c r="J116" s="325"/>
      <c r="K116" s="326"/>
      <c r="L116" s="324">
        <v>0.96</v>
      </c>
      <c r="M116" s="325"/>
      <c r="N116" s="325"/>
      <c r="O116" s="325"/>
      <c r="P116" s="325"/>
      <c r="Q116" s="326"/>
      <c r="R116" s="305"/>
      <c r="S116" s="306"/>
      <c r="T116" s="307"/>
      <c r="U116" s="324">
        <v>0.48</v>
      </c>
      <c r="V116" s="325"/>
      <c r="W116" s="326"/>
      <c r="X116" s="324">
        <v>4</v>
      </c>
      <c r="Y116" s="325"/>
      <c r="Z116" s="325"/>
      <c r="AA116" s="325"/>
      <c r="AB116" s="326"/>
      <c r="AC116" s="324">
        <v>1.92</v>
      </c>
      <c r="AD116" s="325"/>
      <c r="AE116" s="325"/>
      <c r="AF116" s="325"/>
      <c r="AG116" s="325"/>
      <c r="AH116" s="325"/>
      <c r="AI116" s="326"/>
      <c r="AJ116" s="324">
        <v>672</v>
      </c>
      <c r="AK116" s="326"/>
      <c r="AL116" s="324">
        <v>0.28999999999999998</v>
      </c>
      <c r="AM116" s="325"/>
      <c r="AN116" s="326"/>
      <c r="AO116" s="327"/>
      <c r="AP116" s="328"/>
      <c r="AQ116" s="328"/>
      <c r="AR116" s="328"/>
      <c r="AS116" s="328"/>
      <c r="AT116" s="328"/>
      <c r="AU116" s="328"/>
    </row>
    <row r="117" spans="1:47" ht="15.75" thickBot="1">
      <c r="A117" s="227"/>
      <c r="B117" s="232" t="s">
        <v>819</v>
      </c>
      <c r="C117" s="230">
        <v>45001</v>
      </c>
      <c r="D117" s="231">
        <v>62.9</v>
      </c>
      <c r="E117" s="329">
        <v>23.9</v>
      </c>
      <c r="F117" s="330"/>
      <c r="G117" s="324">
        <v>13.2</v>
      </c>
      <c r="H117" s="326"/>
      <c r="I117" s="324">
        <v>7.5</v>
      </c>
      <c r="J117" s="325"/>
      <c r="K117" s="326"/>
      <c r="L117" s="324">
        <v>0</v>
      </c>
      <c r="M117" s="325"/>
      <c r="N117" s="325"/>
      <c r="O117" s="325"/>
      <c r="P117" s="325"/>
      <c r="Q117" s="326"/>
      <c r="R117" s="305"/>
      <c r="S117" s="306"/>
      <c r="T117" s="307"/>
      <c r="U117" s="324">
        <v>0</v>
      </c>
      <c r="V117" s="325"/>
      <c r="W117" s="326"/>
      <c r="X117" s="324">
        <v>4.4285709999999998</v>
      </c>
      <c r="Y117" s="325"/>
      <c r="Z117" s="325"/>
      <c r="AA117" s="325"/>
      <c r="AB117" s="326"/>
      <c r="AC117" s="324">
        <v>0</v>
      </c>
      <c r="AD117" s="325"/>
      <c r="AE117" s="325"/>
      <c r="AF117" s="325"/>
      <c r="AG117" s="325"/>
      <c r="AH117" s="325"/>
      <c r="AI117" s="326"/>
      <c r="AJ117" s="324">
        <v>744</v>
      </c>
      <c r="AK117" s="326"/>
      <c r="AL117" s="324">
        <v>0</v>
      </c>
      <c r="AM117" s="325"/>
      <c r="AN117" s="326"/>
      <c r="AO117" s="327"/>
      <c r="AP117" s="328"/>
      <c r="AQ117" s="328"/>
      <c r="AR117" s="328"/>
      <c r="AS117" s="328"/>
      <c r="AT117" s="328"/>
      <c r="AU117" s="328"/>
    </row>
    <row r="118" spans="1:47" ht="15.75" thickBot="1">
      <c r="A118" s="227"/>
      <c r="B118" s="300"/>
      <c r="C118" s="300"/>
      <c r="D118" s="231">
        <v>63.3</v>
      </c>
      <c r="E118" s="329">
        <v>23.1</v>
      </c>
      <c r="F118" s="330"/>
      <c r="G118" s="324">
        <v>13.6</v>
      </c>
      <c r="H118" s="326"/>
      <c r="I118" s="324">
        <v>6.9</v>
      </c>
      <c r="J118" s="325"/>
      <c r="K118" s="326"/>
      <c r="L118" s="324">
        <v>0.31</v>
      </c>
      <c r="M118" s="325"/>
      <c r="N118" s="325"/>
      <c r="O118" s="325"/>
      <c r="P118" s="325"/>
      <c r="Q118" s="326"/>
      <c r="R118" s="305"/>
      <c r="S118" s="306"/>
      <c r="T118" s="307"/>
      <c r="U118" s="324">
        <v>0.155</v>
      </c>
      <c r="V118" s="325"/>
      <c r="W118" s="326"/>
      <c r="X118" s="324">
        <v>4.4285709999999998</v>
      </c>
      <c r="Y118" s="325"/>
      <c r="Z118" s="325"/>
      <c r="AA118" s="325"/>
      <c r="AB118" s="326"/>
      <c r="AC118" s="324">
        <v>0.68642899999999996</v>
      </c>
      <c r="AD118" s="325"/>
      <c r="AE118" s="325"/>
      <c r="AF118" s="325"/>
      <c r="AG118" s="325"/>
      <c r="AH118" s="325"/>
      <c r="AI118" s="326"/>
      <c r="AJ118" s="324">
        <v>744</v>
      </c>
      <c r="AK118" s="326"/>
      <c r="AL118" s="324">
        <v>0.09</v>
      </c>
      <c r="AM118" s="325"/>
      <c r="AN118" s="326"/>
      <c r="AO118" s="327"/>
      <c r="AP118" s="328"/>
      <c r="AQ118" s="328"/>
      <c r="AR118" s="328"/>
      <c r="AS118" s="328"/>
      <c r="AT118" s="328"/>
      <c r="AU118" s="328"/>
    </row>
    <row r="119" spans="1:47" ht="15.75" thickBot="1">
      <c r="A119" s="227"/>
      <c r="B119" s="300"/>
      <c r="C119" s="300"/>
      <c r="D119" s="231">
        <v>50</v>
      </c>
      <c r="E119" s="329">
        <v>25.6</v>
      </c>
      <c r="F119" s="330"/>
      <c r="G119" s="324">
        <v>24.4</v>
      </c>
      <c r="H119" s="326"/>
      <c r="I119" s="324">
        <v>9.6</v>
      </c>
      <c r="J119" s="325"/>
      <c r="K119" s="326"/>
      <c r="L119" s="324">
        <v>0</v>
      </c>
      <c r="M119" s="325"/>
      <c r="N119" s="325"/>
      <c r="O119" s="325"/>
      <c r="P119" s="325"/>
      <c r="Q119" s="326"/>
      <c r="R119" s="305"/>
      <c r="S119" s="306"/>
      <c r="T119" s="307"/>
      <c r="U119" s="324">
        <v>0</v>
      </c>
      <c r="V119" s="325"/>
      <c r="W119" s="326"/>
      <c r="X119" s="324">
        <v>4.4285709999999998</v>
      </c>
      <c r="Y119" s="325"/>
      <c r="Z119" s="325"/>
      <c r="AA119" s="325"/>
      <c r="AB119" s="326"/>
      <c r="AC119" s="324">
        <v>0</v>
      </c>
      <c r="AD119" s="325"/>
      <c r="AE119" s="325"/>
      <c r="AF119" s="325"/>
      <c r="AG119" s="325"/>
      <c r="AH119" s="325"/>
      <c r="AI119" s="326"/>
      <c r="AJ119" s="324">
        <v>744</v>
      </c>
      <c r="AK119" s="326"/>
      <c r="AL119" s="324">
        <v>0</v>
      </c>
      <c r="AM119" s="325"/>
      <c r="AN119" s="326"/>
      <c r="AO119" s="327"/>
      <c r="AP119" s="328"/>
      <c r="AQ119" s="328"/>
      <c r="AR119" s="328"/>
      <c r="AS119" s="328"/>
      <c r="AT119" s="328"/>
      <c r="AU119" s="328"/>
    </row>
    <row r="120" spans="1:47" ht="15.75" thickBot="1">
      <c r="A120" s="296"/>
      <c r="B120" s="296"/>
      <c r="C120" s="296"/>
      <c r="D120" s="29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19"/>
      <c r="AN120" s="319"/>
      <c r="AO120" s="319"/>
      <c r="AP120" s="319"/>
      <c r="AQ120" s="319"/>
      <c r="AR120" s="319"/>
      <c r="AS120" s="319"/>
      <c r="AT120" s="319"/>
      <c r="AU120" s="3"/>
    </row>
    <row r="121" spans="1:47" ht="15.75" thickBot="1">
      <c r="A121" s="233"/>
      <c r="B121" s="300"/>
      <c r="C121" s="300"/>
      <c r="D121" s="300"/>
      <c r="E121" s="300"/>
      <c r="F121" s="305"/>
      <c r="G121" s="307"/>
      <c r="H121" s="305"/>
      <c r="I121" s="307"/>
      <c r="J121" s="300"/>
      <c r="K121" s="305"/>
      <c r="L121" s="306"/>
      <c r="M121" s="306"/>
      <c r="N121" s="307"/>
      <c r="O121" s="305"/>
      <c r="P121" s="306"/>
      <c r="Q121" s="306"/>
      <c r="R121" s="306"/>
      <c r="S121" s="307"/>
      <c r="T121" s="331" t="s">
        <v>820</v>
      </c>
      <c r="U121" s="332"/>
      <c r="V121" s="332"/>
      <c r="W121" s="332"/>
      <c r="X121" s="332"/>
      <c r="Y121" s="332"/>
      <c r="Z121" s="332"/>
      <c r="AA121" s="333"/>
      <c r="AB121" s="334">
        <v>0.1</v>
      </c>
      <c r="AC121" s="335"/>
      <c r="AD121" s="335"/>
      <c r="AE121" s="335"/>
      <c r="AF121" s="336"/>
      <c r="AG121" s="327"/>
      <c r="AH121" s="328"/>
      <c r="AI121" s="328"/>
      <c r="AJ121" s="328"/>
      <c r="AK121" s="328"/>
      <c r="AL121" s="328"/>
      <c r="AM121" s="328"/>
      <c r="AN121" s="328"/>
      <c r="AO121" s="328"/>
      <c r="AP121" s="328"/>
      <c r="AQ121" s="328"/>
      <c r="AR121" s="328"/>
      <c r="AS121" s="328"/>
      <c r="AT121" s="328"/>
      <c r="AU121" s="328"/>
    </row>
    <row r="122" spans="1:47" ht="15.75" thickBot="1">
      <c r="A122" s="233"/>
      <c r="B122" s="300"/>
      <c r="C122" s="300"/>
      <c r="D122" s="300"/>
      <c r="E122" s="300"/>
      <c r="F122" s="305"/>
      <c r="G122" s="307"/>
      <c r="H122" s="305"/>
      <c r="I122" s="307"/>
      <c r="J122" s="300"/>
      <c r="K122" s="305"/>
      <c r="L122" s="306"/>
      <c r="M122" s="306"/>
      <c r="N122" s="307"/>
      <c r="O122" s="305"/>
      <c r="P122" s="306"/>
      <c r="Q122" s="306"/>
      <c r="R122" s="306"/>
      <c r="S122" s="307"/>
      <c r="T122" s="331" t="s">
        <v>821</v>
      </c>
      <c r="U122" s="332"/>
      <c r="V122" s="332"/>
      <c r="W122" s="332"/>
      <c r="X122" s="332"/>
      <c r="Y122" s="332"/>
      <c r="Z122" s="332"/>
      <c r="AA122" s="333"/>
      <c r="AB122" s="334">
        <v>0.14000000000000001</v>
      </c>
      <c r="AC122" s="335"/>
      <c r="AD122" s="335"/>
      <c r="AE122" s="335"/>
      <c r="AF122" s="336"/>
      <c r="AG122" s="327"/>
      <c r="AH122" s="328"/>
      <c r="AI122" s="328"/>
      <c r="AJ122" s="328"/>
      <c r="AK122" s="328"/>
      <c r="AL122" s="328"/>
      <c r="AM122" s="328"/>
      <c r="AN122" s="328"/>
      <c r="AO122" s="328"/>
      <c r="AP122" s="328"/>
      <c r="AQ122" s="328"/>
      <c r="AR122" s="328"/>
      <c r="AS122" s="328"/>
      <c r="AT122" s="328"/>
      <c r="AU122" s="328"/>
    </row>
    <row r="123" spans="1:47" ht="15.75" thickBot="1">
      <c r="A123" s="233"/>
      <c r="B123" s="300"/>
      <c r="C123" s="300"/>
      <c r="D123" s="300"/>
      <c r="E123" s="300"/>
      <c r="F123" s="305"/>
      <c r="G123" s="307"/>
      <c r="H123" s="305"/>
      <c r="I123" s="307"/>
      <c r="J123" s="300"/>
      <c r="K123" s="305"/>
      <c r="L123" s="306"/>
      <c r="M123" s="306"/>
      <c r="N123" s="307"/>
      <c r="O123" s="305"/>
      <c r="P123" s="306"/>
      <c r="Q123" s="306"/>
      <c r="R123" s="306"/>
      <c r="S123" s="307"/>
      <c r="T123" s="331" t="s">
        <v>822</v>
      </c>
      <c r="U123" s="332"/>
      <c r="V123" s="332"/>
      <c r="W123" s="332"/>
      <c r="X123" s="332"/>
      <c r="Y123" s="332"/>
      <c r="Z123" s="332"/>
      <c r="AA123" s="333"/>
      <c r="AB123" s="334">
        <v>0.06</v>
      </c>
      <c r="AC123" s="335"/>
      <c r="AD123" s="335"/>
      <c r="AE123" s="335"/>
      <c r="AF123" s="336"/>
      <c r="AG123" s="327"/>
      <c r="AH123" s="328"/>
      <c r="AI123" s="328"/>
      <c r="AJ123" s="328"/>
      <c r="AK123" s="328"/>
      <c r="AL123" s="328"/>
      <c r="AM123" s="328"/>
      <c r="AN123" s="328"/>
      <c r="AO123" s="328"/>
      <c r="AP123" s="328"/>
      <c r="AQ123" s="328"/>
      <c r="AR123" s="328"/>
      <c r="AS123" s="328"/>
      <c r="AT123" s="328"/>
      <c r="AU123" s="328"/>
    </row>
    <row r="124" spans="1:47">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row>
    <row r="125" spans="1:47" ht="18.75">
      <c r="A125" s="225"/>
    </row>
    <row r="126" spans="1:47">
      <c r="A126" s="221" t="s">
        <v>823</v>
      </c>
    </row>
    <row r="127" spans="1:47">
      <c r="A127" s="211"/>
    </row>
    <row r="128" spans="1:47">
      <c r="A128" s="211" t="s">
        <v>824</v>
      </c>
    </row>
    <row r="129" spans="1:1">
      <c r="A129" s="211"/>
    </row>
    <row r="131" spans="1:1">
      <c r="A131" s="211" t="s">
        <v>825</v>
      </c>
    </row>
    <row r="132" spans="1:1">
      <c r="A132" s="211" t="s">
        <v>826</v>
      </c>
    </row>
    <row r="133" spans="1:1">
      <c r="A133" s="299"/>
    </row>
    <row r="134" spans="1:1">
      <c r="A134" s="299" t="s">
        <v>827</v>
      </c>
    </row>
    <row r="135" spans="1:1">
      <c r="A135" s="299"/>
    </row>
    <row r="136" spans="1:1">
      <c r="A136" s="299" t="s">
        <v>828</v>
      </c>
    </row>
    <row r="138" spans="1:1">
      <c r="A138" s="299"/>
    </row>
    <row r="139" spans="1:1">
      <c r="A139" s="299" t="s">
        <v>829</v>
      </c>
    </row>
    <row r="140" spans="1:1">
      <c r="A140" s="299"/>
    </row>
    <row r="141" spans="1:1">
      <c r="A141" s="299" t="s">
        <v>830</v>
      </c>
    </row>
    <row r="142" spans="1:1">
      <c r="A142" s="299"/>
    </row>
    <row r="143" spans="1:1">
      <c r="A143" s="299"/>
    </row>
    <row r="144" spans="1:1">
      <c r="A144" s="211"/>
    </row>
  </sheetData>
  <mergeCells count="660">
    <mergeCell ref="F121:G121"/>
    <mergeCell ref="H121:I121"/>
    <mergeCell ref="K121:N121"/>
    <mergeCell ref="O121:S121"/>
    <mergeCell ref="T121:AA121"/>
    <mergeCell ref="AG123:AU123"/>
    <mergeCell ref="F123:G123"/>
    <mergeCell ref="H123:I123"/>
    <mergeCell ref="K123:N123"/>
    <mergeCell ref="O123:S123"/>
    <mergeCell ref="T123:AA123"/>
    <mergeCell ref="AB123:AF123"/>
    <mergeCell ref="AB121:AF121"/>
    <mergeCell ref="AG121:AU121"/>
    <mergeCell ref="F122:G122"/>
    <mergeCell ref="H122:I122"/>
    <mergeCell ref="K122:N122"/>
    <mergeCell ref="O122:S122"/>
    <mergeCell ref="T122:AA122"/>
    <mergeCell ref="AB122:AF122"/>
    <mergeCell ref="AG122:AU122"/>
    <mergeCell ref="X119:AB119"/>
    <mergeCell ref="AC119:AI119"/>
    <mergeCell ref="AJ119:AK119"/>
    <mergeCell ref="AL119:AN119"/>
    <mergeCell ref="AO119:AU119"/>
    <mergeCell ref="E120:L120"/>
    <mergeCell ref="M120:O120"/>
    <mergeCell ref="P120:W120"/>
    <mergeCell ref="X120:Y120"/>
    <mergeCell ref="Z120:AD120"/>
    <mergeCell ref="E119:F119"/>
    <mergeCell ref="G119:H119"/>
    <mergeCell ref="I119:K119"/>
    <mergeCell ref="L119:Q119"/>
    <mergeCell ref="R119:T119"/>
    <mergeCell ref="U119:W119"/>
    <mergeCell ref="AE120:AG120"/>
    <mergeCell ref="AH120:AL120"/>
    <mergeCell ref="AM120:AP120"/>
    <mergeCell ref="AQ120:AR120"/>
    <mergeCell ref="AS120:AT120"/>
    <mergeCell ref="U118:W118"/>
    <mergeCell ref="X118:AB118"/>
    <mergeCell ref="AC118:AI118"/>
    <mergeCell ref="AJ118:AK118"/>
    <mergeCell ref="AL118:AN118"/>
    <mergeCell ref="AO118:AU118"/>
    <mergeCell ref="X117:AB117"/>
    <mergeCell ref="AC117:AI117"/>
    <mergeCell ref="AJ117:AK117"/>
    <mergeCell ref="AL117:AN117"/>
    <mergeCell ref="AO117:AU117"/>
    <mergeCell ref="U117:W117"/>
    <mergeCell ref="E118:F118"/>
    <mergeCell ref="G118:H118"/>
    <mergeCell ref="I118:K118"/>
    <mergeCell ref="L118:Q118"/>
    <mergeCell ref="R118:T118"/>
    <mergeCell ref="E117:F117"/>
    <mergeCell ref="G117:H117"/>
    <mergeCell ref="I117:K117"/>
    <mergeCell ref="L117:Q117"/>
    <mergeCell ref="R117:T117"/>
    <mergeCell ref="U116:W116"/>
    <mergeCell ref="X116:AB116"/>
    <mergeCell ref="AC116:AI116"/>
    <mergeCell ref="AJ116:AK116"/>
    <mergeCell ref="AL116:AN116"/>
    <mergeCell ref="AO116:AU116"/>
    <mergeCell ref="X115:AB115"/>
    <mergeCell ref="AC115:AI115"/>
    <mergeCell ref="AJ115:AK115"/>
    <mergeCell ref="AL115:AN115"/>
    <mergeCell ref="AO115:AU115"/>
    <mergeCell ref="U115:W115"/>
    <mergeCell ref="E116:F116"/>
    <mergeCell ref="G116:H116"/>
    <mergeCell ref="I116:K116"/>
    <mergeCell ref="L116:Q116"/>
    <mergeCell ref="R116:T116"/>
    <mergeCell ref="E115:F115"/>
    <mergeCell ref="G115:H115"/>
    <mergeCell ref="I115:K115"/>
    <mergeCell ref="L115:Q115"/>
    <mergeCell ref="R115:T115"/>
    <mergeCell ref="U114:W114"/>
    <mergeCell ref="X114:AB114"/>
    <mergeCell ref="AC114:AI114"/>
    <mergeCell ref="AJ114:AK114"/>
    <mergeCell ref="AL114:AN114"/>
    <mergeCell ref="AO114:AU114"/>
    <mergeCell ref="X113:AB113"/>
    <mergeCell ref="AC113:AI113"/>
    <mergeCell ref="AJ113:AK113"/>
    <mergeCell ref="AL113:AN113"/>
    <mergeCell ref="AO113:AU113"/>
    <mergeCell ref="U113:W113"/>
    <mergeCell ref="E114:F114"/>
    <mergeCell ref="G114:H114"/>
    <mergeCell ref="I114:K114"/>
    <mergeCell ref="L114:Q114"/>
    <mergeCell ref="R114:T114"/>
    <mergeCell ref="E113:F113"/>
    <mergeCell ref="G113:H113"/>
    <mergeCell ref="I113:K113"/>
    <mergeCell ref="L113:Q113"/>
    <mergeCell ref="R113:T113"/>
    <mergeCell ref="U112:W112"/>
    <mergeCell ref="X112:AB112"/>
    <mergeCell ref="AC112:AI112"/>
    <mergeCell ref="AJ112:AK112"/>
    <mergeCell ref="AL112:AN112"/>
    <mergeCell ref="AO112:AU112"/>
    <mergeCell ref="X111:AB111"/>
    <mergeCell ref="AC111:AI111"/>
    <mergeCell ref="AJ111:AK111"/>
    <mergeCell ref="AL111:AN111"/>
    <mergeCell ref="AO111:AU111"/>
    <mergeCell ref="U111:W111"/>
    <mergeCell ref="E112:F112"/>
    <mergeCell ref="G112:H112"/>
    <mergeCell ref="I112:K112"/>
    <mergeCell ref="L112:Q112"/>
    <mergeCell ref="R112:T112"/>
    <mergeCell ref="E111:F111"/>
    <mergeCell ref="G111:H111"/>
    <mergeCell ref="I111:K111"/>
    <mergeCell ref="L111:Q111"/>
    <mergeCell ref="R111:T111"/>
    <mergeCell ref="U110:W110"/>
    <mergeCell ref="X110:AB110"/>
    <mergeCell ref="AC110:AI110"/>
    <mergeCell ref="AJ110:AK110"/>
    <mergeCell ref="AL110:AN110"/>
    <mergeCell ref="AO110:AU110"/>
    <mergeCell ref="X109:AB109"/>
    <mergeCell ref="AC109:AI109"/>
    <mergeCell ref="AJ109:AK109"/>
    <mergeCell ref="AL109:AN109"/>
    <mergeCell ref="AO109:AU109"/>
    <mergeCell ref="U109:W109"/>
    <mergeCell ref="E110:F110"/>
    <mergeCell ref="G110:H110"/>
    <mergeCell ref="I110:K110"/>
    <mergeCell ref="L110:Q110"/>
    <mergeCell ref="R110:T110"/>
    <mergeCell ref="E109:F109"/>
    <mergeCell ref="G109:H109"/>
    <mergeCell ref="I109:K109"/>
    <mergeCell ref="L109:Q109"/>
    <mergeCell ref="R109:T109"/>
    <mergeCell ref="U108:W108"/>
    <mergeCell ref="X108:AB108"/>
    <mergeCell ref="AC108:AI108"/>
    <mergeCell ref="AJ108:AK108"/>
    <mergeCell ref="AL108:AN108"/>
    <mergeCell ref="AO108:AU108"/>
    <mergeCell ref="X107:AB107"/>
    <mergeCell ref="AC107:AI107"/>
    <mergeCell ref="AJ107:AK107"/>
    <mergeCell ref="AL107:AN107"/>
    <mergeCell ref="AO107:AU107"/>
    <mergeCell ref="U107:W107"/>
    <mergeCell ref="E108:F108"/>
    <mergeCell ref="G108:H108"/>
    <mergeCell ref="I108:K108"/>
    <mergeCell ref="L108:Q108"/>
    <mergeCell ref="R108:T108"/>
    <mergeCell ref="E107:F107"/>
    <mergeCell ref="G107:H107"/>
    <mergeCell ref="I107:K107"/>
    <mergeCell ref="L107:Q107"/>
    <mergeCell ref="R107:T107"/>
    <mergeCell ref="U106:W106"/>
    <mergeCell ref="X106:AB106"/>
    <mergeCell ref="AC106:AI106"/>
    <mergeCell ref="AJ106:AK106"/>
    <mergeCell ref="AL106:AN106"/>
    <mergeCell ref="AO106:AU106"/>
    <mergeCell ref="X105:AB105"/>
    <mergeCell ref="AC105:AI105"/>
    <mergeCell ref="AJ105:AK105"/>
    <mergeCell ref="AL105:AN105"/>
    <mergeCell ref="AO105:AU105"/>
    <mergeCell ref="U105:W105"/>
    <mergeCell ref="E106:F106"/>
    <mergeCell ref="G106:H106"/>
    <mergeCell ref="I106:K106"/>
    <mergeCell ref="L106:Q106"/>
    <mergeCell ref="R106:T106"/>
    <mergeCell ref="E105:F105"/>
    <mergeCell ref="G105:H105"/>
    <mergeCell ref="I105:K105"/>
    <mergeCell ref="L105:Q105"/>
    <mergeCell ref="R105:T105"/>
    <mergeCell ref="U104:W104"/>
    <mergeCell ref="X104:AB104"/>
    <mergeCell ref="AC104:AI104"/>
    <mergeCell ref="AJ104:AK104"/>
    <mergeCell ref="AL104:AN104"/>
    <mergeCell ref="AO104:AU104"/>
    <mergeCell ref="X103:AB103"/>
    <mergeCell ref="AC103:AI103"/>
    <mergeCell ref="AJ103:AK103"/>
    <mergeCell ref="AL103:AN103"/>
    <mergeCell ref="AO103:AU103"/>
    <mergeCell ref="U103:W103"/>
    <mergeCell ref="E104:F104"/>
    <mergeCell ref="G104:H104"/>
    <mergeCell ref="I104:K104"/>
    <mergeCell ref="L104:Q104"/>
    <mergeCell ref="R104:T104"/>
    <mergeCell ref="E103:F103"/>
    <mergeCell ref="G103:H103"/>
    <mergeCell ref="I103:K103"/>
    <mergeCell ref="L103:Q103"/>
    <mergeCell ref="R103:T103"/>
    <mergeCell ref="U102:W102"/>
    <mergeCell ref="X102:AB102"/>
    <mergeCell ref="AC102:AI102"/>
    <mergeCell ref="AJ102:AK102"/>
    <mergeCell ref="AL102:AN102"/>
    <mergeCell ref="AO102:AU102"/>
    <mergeCell ref="X101:AB101"/>
    <mergeCell ref="AC101:AI101"/>
    <mergeCell ref="AJ101:AK101"/>
    <mergeCell ref="AL101:AN101"/>
    <mergeCell ref="AO101:AU101"/>
    <mergeCell ref="U101:W101"/>
    <mergeCell ref="E102:F102"/>
    <mergeCell ref="G102:H102"/>
    <mergeCell ref="I102:K102"/>
    <mergeCell ref="L102:Q102"/>
    <mergeCell ref="R102:T102"/>
    <mergeCell ref="E101:F101"/>
    <mergeCell ref="G101:H101"/>
    <mergeCell ref="I101:K101"/>
    <mergeCell ref="L101:Q101"/>
    <mergeCell ref="R101:T101"/>
    <mergeCell ref="U100:W100"/>
    <mergeCell ref="X100:AB100"/>
    <mergeCell ref="AC100:AI100"/>
    <mergeCell ref="AJ100:AK100"/>
    <mergeCell ref="AL100:AN100"/>
    <mergeCell ref="AO100:AU100"/>
    <mergeCell ref="X99:AB99"/>
    <mergeCell ref="AC99:AI99"/>
    <mergeCell ref="AJ99:AK99"/>
    <mergeCell ref="AL99:AN99"/>
    <mergeCell ref="AO99:AU99"/>
    <mergeCell ref="U99:W99"/>
    <mergeCell ref="E100:F100"/>
    <mergeCell ref="G100:H100"/>
    <mergeCell ref="I100:K100"/>
    <mergeCell ref="L100:Q100"/>
    <mergeCell ref="R100:T100"/>
    <mergeCell ref="E99:F99"/>
    <mergeCell ref="G99:H99"/>
    <mergeCell ref="I99:K99"/>
    <mergeCell ref="L99:Q99"/>
    <mergeCell ref="R99:T99"/>
    <mergeCell ref="U98:W98"/>
    <mergeCell ref="X98:AB98"/>
    <mergeCell ref="AC98:AI98"/>
    <mergeCell ref="AJ98:AK98"/>
    <mergeCell ref="AL98:AN98"/>
    <mergeCell ref="AO98:AU98"/>
    <mergeCell ref="X97:AB97"/>
    <mergeCell ref="AC97:AI97"/>
    <mergeCell ref="AJ97:AK97"/>
    <mergeCell ref="AL97:AN97"/>
    <mergeCell ref="AO97:AU97"/>
    <mergeCell ref="U97:W97"/>
    <mergeCell ref="E98:F98"/>
    <mergeCell ref="G98:H98"/>
    <mergeCell ref="I98:K98"/>
    <mergeCell ref="L98:Q98"/>
    <mergeCell ref="R98:T98"/>
    <mergeCell ref="E97:F97"/>
    <mergeCell ref="G97:H97"/>
    <mergeCell ref="I97:K97"/>
    <mergeCell ref="L97:Q97"/>
    <mergeCell ref="R97:T97"/>
    <mergeCell ref="U96:W96"/>
    <mergeCell ref="X96:AB96"/>
    <mergeCell ref="AC96:AI96"/>
    <mergeCell ref="AJ96:AK96"/>
    <mergeCell ref="AL96:AN96"/>
    <mergeCell ref="AO96:AU96"/>
    <mergeCell ref="X95:AB95"/>
    <mergeCell ref="AC95:AI95"/>
    <mergeCell ref="AJ95:AK95"/>
    <mergeCell ref="AL95:AN95"/>
    <mergeCell ref="AO95:AU95"/>
    <mergeCell ref="U95:W95"/>
    <mergeCell ref="E96:F96"/>
    <mergeCell ref="G96:H96"/>
    <mergeCell ref="I96:K96"/>
    <mergeCell ref="L96:Q96"/>
    <mergeCell ref="R96:T96"/>
    <mergeCell ref="E95:F95"/>
    <mergeCell ref="G95:H95"/>
    <mergeCell ref="I95:K95"/>
    <mergeCell ref="L95:Q95"/>
    <mergeCell ref="R95:T95"/>
    <mergeCell ref="U94:W94"/>
    <mergeCell ref="X94:AB94"/>
    <mergeCell ref="AC94:AI94"/>
    <mergeCell ref="AJ94:AK94"/>
    <mergeCell ref="AL94:AN94"/>
    <mergeCell ref="AO94:AU94"/>
    <mergeCell ref="X93:AB93"/>
    <mergeCell ref="AC93:AI93"/>
    <mergeCell ref="AJ93:AK93"/>
    <mergeCell ref="AL93:AN93"/>
    <mergeCell ref="AO93:AU93"/>
    <mergeCell ref="U93:W93"/>
    <mergeCell ref="E94:F94"/>
    <mergeCell ref="G94:H94"/>
    <mergeCell ref="I94:K94"/>
    <mergeCell ref="L94:Q94"/>
    <mergeCell ref="R94:T94"/>
    <mergeCell ref="E93:F93"/>
    <mergeCell ref="G93:H93"/>
    <mergeCell ref="I93:K93"/>
    <mergeCell ref="L93:Q93"/>
    <mergeCell ref="R93:T93"/>
    <mergeCell ref="U92:W92"/>
    <mergeCell ref="X92:AB92"/>
    <mergeCell ref="AC92:AI92"/>
    <mergeCell ref="AJ92:AK92"/>
    <mergeCell ref="AL92:AN92"/>
    <mergeCell ref="AO92:AU92"/>
    <mergeCell ref="X91:AB91"/>
    <mergeCell ref="AC91:AI91"/>
    <mergeCell ref="AJ91:AK91"/>
    <mergeCell ref="AL91:AN91"/>
    <mergeCell ref="AO91:AU91"/>
    <mergeCell ref="U91:W91"/>
    <mergeCell ref="E92:F92"/>
    <mergeCell ref="G92:H92"/>
    <mergeCell ref="I92:K92"/>
    <mergeCell ref="L92:Q92"/>
    <mergeCell ref="R92:T92"/>
    <mergeCell ref="E91:F91"/>
    <mergeCell ref="G91:H91"/>
    <mergeCell ref="I91:K91"/>
    <mergeCell ref="L91:Q91"/>
    <mergeCell ref="R91:T91"/>
    <mergeCell ref="U90:W90"/>
    <mergeCell ref="X90:AB90"/>
    <mergeCell ref="AC90:AI90"/>
    <mergeCell ref="AJ90:AK90"/>
    <mergeCell ref="AL90:AN90"/>
    <mergeCell ref="AO90:AU90"/>
    <mergeCell ref="X89:AB89"/>
    <mergeCell ref="AC89:AI89"/>
    <mergeCell ref="AJ89:AK89"/>
    <mergeCell ref="AL89:AN89"/>
    <mergeCell ref="AO89:AU89"/>
    <mergeCell ref="U89:W89"/>
    <mergeCell ref="E90:F90"/>
    <mergeCell ref="G90:H90"/>
    <mergeCell ref="I90:K90"/>
    <mergeCell ref="L90:Q90"/>
    <mergeCell ref="R90:T90"/>
    <mergeCell ref="E89:F89"/>
    <mergeCell ref="G89:H89"/>
    <mergeCell ref="I89:K89"/>
    <mergeCell ref="L89:Q89"/>
    <mergeCell ref="R89:T89"/>
    <mergeCell ref="U88:W88"/>
    <mergeCell ref="X88:AB88"/>
    <mergeCell ref="AC88:AI88"/>
    <mergeCell ref="AJ88:AK88"/>
    <mergeCell ref="AL88:AN88"/>
    <mergeCell ref="AO88:AU88"/>
    <mergeCell ref="X87:AB87"/>
    <mergeCell ref="AC87:AI87"/>
    <mergeCell ref="AJ87:AK87"/>
    <mergeCell ref="AL87:AN87"/>
    <mergeCell ref="AO87:AU87"/>
    <mergeCell ref="U87:W87"/>
    <mergeCell ref="E88:F88"/>
    <mergeCell ref="G88:H88"/>
    <mergeCell ref="I88:K88"/>
    <mergeCell ref="L88:Q88"/>
    <mergeCell ref="R88:T88"/>
    <mergeCell ref="E87:F87"/>
    <mergeCell ref="G87:H87"/>
    <mergeCell ref="I87:K87"/>
    <mergeCell ref="L87:Q87"/>
    <mergeCell ref="R87:T87"/>
    <mergeCell ref="U86:W86"/>
    <mergeCell ref="X86:AB86"/>
    <mergeCell ref="AC86:AI86"/>
    <mergeCell ref="AJ86:AK86"/>
    <mergeCell ref="AL86:AN86"/>
    <mergeCell ref="AO86:AU86"/>
    <mergeCell ref="X85:AB85"/>
    <mergeCell ref="AC85:AI85"/>
    <mergeCell ref="AJ85:AK85"/>
    <mergeCell ref="AL85:AN85"/>
    <mergeCell ref="AO85:AU85"/>
    <mergeCell ref="U85:W85"/>
    <mergeCell ref="E86:F86"/>
    <mergeCell ref="G86:H86"/>
    <mergeCell ref="I86:K86"/>
    <mergeCell ref="L86:Q86"/>
    <mergeCell ref="R86:T86"/>
    <mergeCell ref="E85:F85"/>
    <mergeCell ref="G85:H85"/>
    <mergeCell ref="I85:K85"/>
    <mergeCell ref="L85:Q85"/>
    <mergeCell ref="R85:T85"/>
    <mergeCell ref="U84:W84"/>
    <mergeCell ref="X84:AB84"/>
    <mergeCell ref="AC84:AI84"/>
    <mergeCell ref="AJ84:AK84"/>
    <mergeCell ref="AL84:AN84"/>
    <mergeCell ref="AO84:AU84"/>
    <mergeCell ref="X83:AB83"/>
    <mergeCell ref="AC83:AI83"/>
    <mergeCell ref="AJ83:AK83"/>
    <mergeCell ref="AL83:AN83"/>
    <mergeCell ref="AO83:AU83"/>
    <mergeCell ref="U83:W83"/>
    <mergeCell ref="E84:F84"/>
    <mergeCell ref="G84:H84"/>
    <mergeCell ref="I84:K84"/>
    <mergeCell ref="L84:Q84"/>
    <mergeCell ref="R84:T84"/>
    <mergeCell ref="E83:F83"/>
    <mergeCell ref="G83:H83"/>
    <mergeCell ref="I83:K83"/>
    <mergeCell ref="L83:Q83"/>
    <mergeCell ref="R83:T83"/>
    <mergeCell ref="U82:W82"/>
    <mergeCell ref="X82:AB82"/>
    <mergeCell ref="AC82:AI82"/>
    <mergeCell ref="AJ82:AK82"/>
    <mergeCell ref="AL82:AN82"/>
    <mergeCell ref="AO82:AU82"/>
    <mergeCell ref="X81:AB81"/>
    <mergeCell ref="AC81:AI81"/>
    <mergeCell ref="AJ81:AK81"/>
    <mergeCell ref="AL81:AN81"/>
    <mergeCell ref="AO81:AU81"/>
    <mergeCell ref="U81:W81"/>
    <mergeCell ref="E82:F82"/>
    <mergeCell ref="G82:H82"/>
    <mergeCell ref="I82:K82"/>
    <mergeCell ref="L82:Q82"/>
    <mergeCell ref="R82:T82"/>
    <mergeCell ref="E81:F81"/>
    <mergeCell ref="G81:H81"/>
    <mergeCell ref="I81:K81"/>
    <mergeCell ref="L81:Q81"/>
    <mergeCell ref="R81:T81"/>
    <mergeCell ref="U80:W80"/>
    <mergeCell ref="X80:AB80"/>
    <mergeCell ref="AC80:AI80"/>
    <mergeCell ref="AJ80:AK80"/>
    <mergeCell ref="AL80:AN80"/>
    <mergeCell ref="AO80:AU80"/>
    <mergeCell ref="X79:AB79"/>
    <mergeCell ref="AC79:AI79"/>
    <mergeCell ref="AJ79:AK79"/>
    <mergeCell ref="AL79:AN79"/>
    <mergeCell ref="AO79:AU79"/>
    <mergeCell ref="U79:W79"/>
    <mergeCell ref="E80:F80"/>
    <mergeCell ref="G80:H80"/>
    <mergeCell ref="I80:K80"/>
    <mergeCell ref="L80:Q80"/>
    <mergeCell ref="R80:T80"/>
    <mergeCell ref="E79:F79"/>
    <mergeCell ref="G79:H79"/>
    <mergeCell ref="I79:K79"/>
    <mergeCell ref="L79:Q79"/>
    <mergeCell ref="R79:T79"/>
    <mergeCell ref="U78:W78"/>
    <mergeCell ref="X78:AB78"/>
    <mergeCell ref="AC78:AI78"/>
    <mergeCell ref="AJ78:AK78"/>
    <mergeCell ref="AL78:AN78"/>
    <mergeCell ref="AO78:AU78"/>
    <mergeCell ref="X77:AB77"/>
    <mergeCell ref="AC77:AI77"/>
    <mergeCell ref="AJ77:AK77"/>
    <mergeCell ref="AL77:AN77"/>
    <mergeCell ref="AO77:AU77"/>
    <mergeCell ref="U77:W77"/>
    <mergeCell ref="E78:F78"/>
    <mergeCell ref="G78:H78"/>
    <mergeCell ref="I78:K78"/>
    <mergeCell ref="L78:Q78"/>
    <mergeCell ref="R78:T78"/>
    <mergeCell ref="E77:F77"/>
    <mergeCell ref="G77:H77"/>
    <mergeCell ref="I77:K77"/>
    <mergeCell ref="L77:Q77"/>
    <mergeCell ref="R77:T77"/>
    <mergeCell ref="U76:W76"/>
    <mergeCell ref="X76:AB76"/>
    <mergeCell ref="AC76:AI76"/>
    <mergeCell ref="AJ76:AK76"/>
    <mergeCell ref="AL76:AN76"/>
    <mergeCell ref="AO76:AU76"/>
    <mergeCell ref="X75:AB75"/>
    <mergeCell ref="AC75:AI75"/>
    <mergeCell ref="AJ75:AK75"/>
    <mergeCell ref="AL75:AN75"/>
    <mergeCell ref="AO75:AU75"/>
    <mergeCell ref="U75:W75"/>
    <mergeCell ref="E76:F76"/>
    <mergeCell ref="G76:H76"/>
    <mergeCell ref="I76:K76"/>
    <mergeCell ref="L76:Q76"/>
    <mergeCell ref="R76:T76"/>
    <mergeCell ref="E75:F75"/>
    <mergeCell ref="G75:H75"/>
    <mergeCell ref="I75:K75"/>
    <mergeCell ref="L75:Q75"/>
    <mergeCell ref="R75:T75"/>
    <mergeCell ref="U74:W74"/>
    <mergeCell ref="X74:AB74"/>
    <mergeCell ref="AC74:AI74"/>
    <mergeCell ref="AJ74:AK74"/>
    <mergeCell ref="AL74:AN74"/>
    <mergeCell ref="AO74:AU74"/>
    <mergeCell ref="X73:AB73"/>
    <mergeCell ref="AC73:AI73"/>
    <mergeCell ref="AJ73:AK73"/>
    <mergeCell ref="AL73:AN73"/>
    <mergeCell ref="AO73:AU73"/>
    <mergeCell ref="U73:W73"/>
    <mergeCell ref="E74:F74"/>
    <mergeCell ref="G74:H74"/>
    <mergeCell ref="I74:K74"/>
    <mergeCell ref="L74:Q74"/>
    <mergeCell ref="R74:T74"/>
    <mergeCell ref="E73:F73"/>
    <mergeCell ref="G73:H73"/>
    <mergeCell ref="I73:K73"/>
    <mergeCell ref="L73:Q73"/>
    <mergeCell ref="R73:T73"/>
    <mergeCell ref="U72:W72"/>
    <mergeCell ref="X72:AB72"/>
    <mergeCell ref="AC72:AI72"/>
    <mergeCell ref="AJ72:AK72"/>
    <mergeCell ref="AL72:AN72"/>
    <mergeCell ref="AO72:AU72"/>
    <mergeCell ref="X71:AB71"/>
    <mergeCell ref="AC71:AI71"/>
    <mergeCell ref="AJ71:AK71"/>
    <mergeCell ref="AL71:AN71"/>
    <mergeCell ref="AO71:AU71"/>
    <mergeCell ref="U71:W71"/>
    <mergeCell ref="E72:F72"/>
    <mergeCell ref="G72:H72"/>
    <mergeCell ref="I72:K72"/>
    <mergeCell ref="L72:Q72"/>
    <mergeCell ref="R72:T72"/>
    <mergeCell ref="E71:F71"/>
    <mergeCell ref="G71:H71"/>
    <mergeCell ref="I71:K71"/>
    <mergeCell ref="L71:Q71"/>
    <mergeCell ref="R71:T71"/>
    <mergeCell ref="U70:W70"/>
    <mergeCell ref="X70:AB70"/>
    <mergeCell ref="AC70:AI70"/>
    <mergeCell ref="AJ70:AK70"/>
    <mergeCell ref="AL70:AN70"/>
    <mergeCell ref="AO70:AU70"/>
    <mergeCell ref="X69:AB69"/>
    <mergeCell ref="AC69:AI69"/>
    <mergeCell ref="AJ69:AK69"/>
    <mergeCell ref="AL69:AN69"/>
    <mergeCell ref="AO69:AU69"/>
    <mergeCell ref="U69:W69"/>
    <mergeCell ref="E70:F70"/>
    <mergeCell ref="G70:H70"/>
    <mergeCell ref="I70:K70"/>
    <mergeCell ref="L70:Q70"/>
    <mergeCell ref="R70:T70"/>
    <mergeCell ref="E69:F69"/>
    <mergeCell ref="G69:H69"/>
    <mergeCell ref="I69:K69"/>
    <mergeCell ref="L69:Q69"/>
    <mergeCell ref="R69:T69"/>
    <mergeCell ref="U68:W68"/>
    <mergeCell ref="X68:AB68"/>
    <mergeCell ref="AC68:AI68"/>
    <mergeCell ref="AJ68:AK68"/>
    <mergeCell ref="AL68:AN68"/>
    <mergeCell ref="AO68:AU68"/>
    <mergeCell ref="X67:AB67"/>
    <mergeCell ref="AC67:AI67"/>
    <mergeCell ref="AJ67:AK67"/>
    <mergeCell ref="AL67:AN67"/>
    <mergeCell ref="AO67:AU67"/>
    <mergeCell ref="U67:W67"/>
    <mergeCell ref="E68:F68"/>
    <mergeCell ref="G68:H68"/>
    <mergeCell ref="I68:K68"/>
    <mergeCell ref="L68:Q68"/>
    <mergeCell ref="R68:T68"/>
    <mergeCell ref="E67:F67"/>
    <mergeCell ref="G67:H67"/>
    <mergeCell ref="I67:K67"/>
    <mergeCell ref="L67:Q67"/>
    <mergeCell ref="R67:T67"/>
    <mergeCell ref="E66:F66"/>
    <mergeCell ref="G66:H66"/>
    <mergeCell ref="I66:K66"/>
    <mergeCell ref="L66:R66"/>
    <mergeCell ref="S66:U66"/>
    <mergeCell ref="W66:AC66"/>
    <mergeCell ref="AD66:AJ66"/>
    <mergeCell ref="AL66:AO66"/>
    <mergeCell ref="AP66:AU66"/>
    <mergeCell ref="E65:F65"/>
    <mergeCell ref="G65:H65"/>
    <mergeCell ref="I65:K65"/>
    <mergeCell ref="L65:R65"/>
    <mergeCell ref="S65:U65"/>
    <mergeCell ref="W65:AC65"/>
    <mergeCell ref="AD65:AJ65"/>
    <mergeCell ref="AL65:AO65"/>
    <mergeCell ref="AP65:AU65"/>
    <mergeCell ref="E64:F64"/>
    <mergeCell ref="G64:H64"/>
    <mergeCell ref="I64:K64"/>
    <mergeCell ref="L64:R64"/>
    <mergeCell ref="S64:U64"/>
    <mergeCell ref="W64:AC64"/>
    <mergeCell ref="AD64:AJ64"/>
    <mergeCell ref="AL64:AO64"/>
    <mergeCell ref="AP64:AU64"/>
    <mergeCell ref="AI62:AM62"/>
    <mergeCell ref="AN62:AQ62"/>
    <mergeCell ref="AR62:AS62"/>
    <mergeCell ref="AT62:AU62"/>
    <mergeCell ref="E63:F63"/>
    <mergeCell ref="G63:H63"/>
    <mergeCell ref="I63:K63"/>
    <mergeCell ref="L63:R63"/>
    <mergeCell ref="S63:U63"/>
    <mergeCell ref="W63:AC63"/>
    <mergeCell ref="A62:M62"/>
    <mergeCell ref="N62:P62"/>
    <mergeCell ref="Q62:X62"/>
    <mergeCell ref="Y62:Z62"/>
    <mergeCell ref="AA62:AE62"/>
    <mergeCell ref="AF62:AH62"/>
    <mergeCell ref="AD63:AJ63"/>
    <mergeCell ref="AL63:AO63"/>
    <mergeCell ref="AP63:AU63"/>
  </mergeCells>
  <hyperlinks>
    <hyperlink ref="A19" r:id="rId1" display="mailto:holder.amara@epa.gov" xr:uid="{8046611A-07C5-4B72-A4B9-AC0D48A2EA83}"/>
    <hyperlink ref="A22" r:id="rId2" display="https://gcc02.safelinks.protection.outlook.com/?url=https%3A%2F%2Fdec.alaska.gov%2Fair%2Fanpms%2Fcommunities%2Ffbks-pm2-5-serious-sip%2F&amp;data=05%7C01%7CStrum.Madeleine%40epa.gov%7C17df03bd102f45d6a87d08db2bcd17e4%7C88b378b367484867acf976aacbeca6a7%7C0%7C0%7C638151932091191821%7CUnknown%7CTWFpbGZsb3d8eyJWIjoiMC4wLjAwMDAiLCJQIjoiV2luMzIiLCJBTiI6Ik1haWwiLCJXVCI6Mn0%3D%7C3000%7C%7C%7C&amp;sdata=oYmxobvpPHVpot4in90lvgKmFJvWn3X6o3lEKbIHXnE%3D&amp;reserved=0" xr:uid="{4FC79B3A-1F7D-4C25-AAE0-2B4A282F607D}"/>
    <hyperlink ref="A48" r:id="rId3" display="https://doi.org/10.1080/10962247.2022.2057615" xr:uid="{FDEAF9E9-5AEB-40D3-9ADA-5DBAF3C42DA3}"/>
    <hyperlink ref="A56" r:id="rId4" display="https://doi.org/10.1080/10962247.2020.1726838" xr:uid="{23779F80-AF6B-4F06-9395-0D44D2E7ED87}"/>
  </hyperlinks>
  <pageMargins left="0.7" right="0.7" top="0.75" bottom="0.75" header="0.3" footer="0.3"/>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56A93-4161-4C51-B6A5-91100C14262B}">
  <dimension ref="A1:AV14"/>
  <sheetViews>
    <sheetView tabSelected="1" zoomScaleNormal="100" workbookViewId="0">
      <pane xSplit="2" ySplit="1" topLeftCell="AG2" activePane="bottomRight" state="frozen"/>
      <selection pane="topRight" activeCell="C1" sqref="C1"/>
      <selection pane="bottomLeft" activeCell="A2" sqref="A2"/>
      <selection pane="bottomRight" activeCell="AU2" sqref="AU2:AV3"/>
    </sheetView>
  </sheetViews>
  <sheetFormatPr defaultRowHeight="15"/>
  <cols>
    <col min="1" max="1" width="11.85546875" style="241" customWidth="1"/>
    <col min="2" max="2" width="67.140625" customWidth="1"/>
    <col min="9" max="9" width="11" customWidth="1"/>
    <col min="24" max="24" width="9.28515625" bestFit="1" customWidth="1"/>
    <col min="26" max="28" width="9.28515625" bestFit="1" customWidth="1"/>
    <col min="30" max="31" width="9.140625" customWidth="1"/>
    <col min="33" max="33" width="23.28515625" customWidth="1"/>
    <col min="35" max="35" width="9.28515625" bestFit="1" customWidth="1"/>
    <col min="37" max="38" width="9.28515625" bestFit="1" customWidth="1"/>
    <col min="40" max="40" width="16" bestFit="1" customWidth="1"/>
  </cols>
  <sheetData>
    <row r="1" spans="1:48">
      <c r="A1" s="235" t="s">
        <v>742</v>
      </c>
      <c r="B1" s="236" t="s">
        <v>743</v>
      </c>
      <c r="C1" s="236" t="s">
        <v>831</v>
      </c>
      <c r="D1" s="237" t="s">
        <v>832</v>
      </c>
      <c r="E1" s="236" t="s">
        <v>833</v>
      </c>
      <c r="F1" s="238" t="s">
        <v>834</v>
      </c>
      <c r="G1" s="236" t="s">
        <v>835</v>
      </c>
      <c r="H1" s="236" t="s">
        <v>836</v>
      </c>
      <c r="I1" s="236" t="s">
        <v>837</v>
      </c>
      <c r="J1" s="236" t="s">
        <v>838</v>
      </c>
      <c r="K1" s="236" t="s">
        <v>839</v>
      </c>
      <c r="L1" s="236" t="s">
        <v>840</v>
      </c>
      <c r="M1" s="236" t="s">
        <v>841</v>
      </c>
      <c r="N1" s="236" t="s">
        <v>842</v>
      </c>
      <c r="O1" s="236" t="s">
        <v>843</v>
      </c>
      <c r="P1" s="236" t="s">
        <v>844</v>
      </c>
      <c r="Q1" s="236" t="s">
        <v>845</v>
      </c>
      <c r="R1" s="236" t="s">
        <v>846</v>
      </c>
      <c r="S1" s="236" t="s">
        <v>847</v>
      </c>
      <c r="T1" s="236" t="s">
        <v>848</v>
      </c>
      <c r="U1" s="236" t="s">
        <v>849</v>
      </c>
      <c r="V1" s="236" t="s">
        <v>850</v>
      </c>
      <c r="W1" s="236" t="s">
        <v>851</v>
      </c>
      <c r="X1" s="236" t="s">
        <v>852</v>
      </c>
      <c r="Y1" s="236" t="s">
        <v>853</v>
      </c>
      <c r="Z1" s="236" t="s">
        <v>854</v>
      </c>
      <c r="AA1" s="236" t="s">
        <v>855</v>
      </c>
      <c r="AB1" s="236" t="s">
        <v>856</v>
      </c>
      <c r="AC1" s="236" t="s">
        <v>857</v>
      </c>
      <c r="AD1" s="237" t="s">
        <v>858</v>
      </c>
      <c r="AE1" s="237" t="s">
        <v>859</v>
      </c>
      <c r="AF1" s="236" t="s">
        <v>860</v>
      </c>
      <c r="AG1" s="236" t="s">
        <v>861</v>
      </c>
      <c r="AH1" s="236" t="s">
        <v>862</v>
      </c>
      <c r="AI1" s="237" t="s">
        <v>863</v>
      </c>
      <c r="AJ1" s="236" t="s">
        <v>864</v>
      </c>
      <c r="AK1" s="236" t="s">
        <v>865</v>
      </c>
      <c r="AL1" s="237" t="s">
        <v>866</v>
      </c>
      <c r="AM1" s="236" t="s">
        <v>867</v>
      </c>
      <c r="AN1" s="236" t="s">
        <v>868</v>
      </c>
      <c r="AO1" s="236" t="s">
        <v>869</v>
      </c>
      <c r="AP1" s="236" t="s">
        <v>870</v>
      </c>
      <c r="AQ1" s="236" t="s">
        <v>871</v>
      </c>
      <c r="AR1" s="236" t="s">
        <v>872</v>
      </c>
      <c r="AS1" s="239" t="s">
        <v>873</v>
      </c>
      <c r="AT1" s="239" t="s">
        <v>874</v>
      </c>
      <c r="AU1" s="240" t="s">
        <v>875</v>
      </c>
      <c r="AV1" s="240" t="s">
        <v>876</v>
      </c>
    </row>
    <row r="2" spans="1:48">
      <c r="A2">
        <v>95862</v>
      </c>
      <c r="B2" t="s">
        <v>744</v>
      </c>
      <c r="C2" t="s">
        <v>877</v>
      </c>
      <c r="D2" t="s">
        <v>878</v>
      </c>
      <c r="E2">
        <v>26</v>
      </c>
      <c r="F2" t="s">
        <v>879</v>
      </c>
      <c r="H2" t="s">
        <v>880</v>
      </c>
      <c r="I2" s="65">
        <v>45100</v>
      </c>
      <c r="J2" t="s">
        <v>881</v>
      </c>
      <c r="K2">
        <v>100</v>
      </c>
      <c r="L2" s="249" t="s">
        <v>882</v>
      </c>
      <c r="M2" t="s">
        <v>883</v>
      </c>
      <c r="N2" t="s">
        <v>884</v>
      </c>
      <c r="O2" t="b">
        <v>1</v>
      </c>
      <c r="P2" t="b">
        <v>0</v>
      </c>
      <c r="Q2">
        <v>2021</v>
      </c>
      <c r="V2">
        <v>3</v>
      </c>
      <c r="W2">
        <v>0</v>
      </c>
      <c r="X2" s="248">
        <v>2.5</v>
      </c>
      <c r="Z2">
        <v>5.3</v>
      </c>
      <c r="AB2" s="292">
        <v>25.934433333333335</v>
      </c>
      <c r="AD2" s="293">
        <v>416.07506381341614</v>
      </c>
      <c r="AE2" s="293">
        <v>185.82159954675657</v>
      </c>
      <c r="AF2" t="s">
        <v>885</v>
      </c>
      <c r="AG2" t="s">
        <v>886</v>
      </c>
      <c r="AH2" s="247" t="s">
        <v>887</v>
      </c>
      <c r="AI2" s="292">
        <v>0.63835019693309203</v>
      </c>
      <c r="AJ2" s="249" t="s">
        <v>607</v>
      </c>
      <c r="AK2" s="2">
        <v>1.9958150621790303</v>
      </c>
      <c r="AL2" s="9"/>
      <c r="AM2" t="s">
        <v>888</v>
      </c>
      <c r="AN2" s="65">
        <v>45100</v>
      </c>
      <c r="AS2" t="s">
        <v>889</v>
      </c>
      <c r="AT2" s="247" t="s">
        <v>890</v>
      </c>
      <c r="AU2" s="245" t="s">
        <v>1018</v>
      </c>
      <c r="AV2" s="245" t="s">
        <v>1019</v>
      </c>
    </row>
    <row r="3" spans="1:48">
      <c r="A3">
        <v>95863</v>
      </c>
      <c r="B3" t="s">
        <v>745</v>
      </c>
      <c r="C3" t="s">
        <v>877</v>
      </c>
      <c r="D3" t="s">
        <v>878</v>
      </c>
      <c r="E3">
        <v>26</v>
      </c>
      <c r="F3" t="s">
        <v>879</v>
      </c>
      <c r="H3" t="s">
        <v>880</v>
      </c>
      <c r="I3" s="65">
        <v>45100</v>
      </c>
      <c r="J3" t="s">
        <v>891</v>
      </c>
      <c r="K3">
        <v>100</v>
      </c>
      <c r="L3" s="249" t="s">
        <v>882</v>
      </c>
      <c r="M3" t="s">
        <v>883</v>
      </c>
      <c r="N3" t="s">
        <v>884</v>
      </c>
      <c r="O3" t="b">
        <v>1</v>
      </c>
      <c r="P3" t="b">
        <v>0</v>
      </c>
      <c r="Q3">
        <v>2021</v>
      </c>
      <c r="V3">
        <v>3</v>
      </c>
      <c r="W3">
        <v>0</v>
      </c>
      <c r="X3" s="248">
        <v>2.5</v>
      </c>
      <c r="Z3">
        <v>5.3</v>
      </c>
      <c r="AB3" s="292">
        <v>26.284433333333329</v>
      </c>
      <c r="AD3" s="293">
        <v>3799.0678284697074</v>
      </c>
      <c r="AE3" s="293">
        <v>1906.1415158575116</v>
      </c>
      <c r="AF3" t="s">
        <v>885</v>
      </c>
      <c r="AG3" t="s">
        <v>886</v>
      </c>
      <c r="AH3" s="247" t="s">
        <v>887</v>
      </c>
      <c r="AI3" s="292">
        <v>7.3451586159843956</v>
      </c>
      <c r="AJ3" s="249" t="s">
        <v>607</v>
      </c>
      <c r="AK3" s="2">
        <v>1.9577310904767824</v>
      </c>
      <c r="AM3" t="s">
        <v>888</v>
      </c>
      <c r="AN3" s="65">
        <v>45100</v>
      </c>
      <c r="AS3" t="s">
        <v>889</v>
      </c>
      <c r="AT3" s="247" t="s">
        <v>890</v>
      </c>
      <c r="AU3" s="245" t="s">
        <v>1018</v>
      </c>
      <c r="AV3" s="245" t="s">
        <v>1019</v>
      </c>
    </row>
    <row r="4" spans="1:48">
      <c r="A4">
        <v>95864</v>
      </c>
      <c r="B4" t="s">
        <v>746</v>
      </c>
      <c r="C4" t="s">
        <v>877</v>
      </c>
      <c r="D4" t="s">
        <v>878</v>
      </c>
      <c r="E4">
        <v>26</v>
      </c>
      <c r="F4" t="s">
        <v>879</v>
      </c>
      <c r="H4" t="s">
        <v>880</v>
      </c>
      <c r="I4" s="65">
        <v>45100</v>
      </c>
      <c r="J4" t="s">
        <v>892</v>
      </c>
      <c r="K4">
        <v>100</v>
      </c>
      <c r="L4" s="249" t="s">
        <v>882</v>
      </c>
      <c r="M4" t="s">
        <v>883</v>
      </c>
      <c r="N4" t="s">
        <v>884</v>
      </c>
      <c r="O4" t="b">
        <v>1</v>
      </c>
      <c r="P4" t="b">
        <v>0</v>
      </c>
      <c r="Q4">
        <v>2021</v>
      </c>
      <c r="V4">
        <v>2</v>
      </c>
      <c r="W4">
        <v>0</v>
      </c>
      <c r="X4" s="248">
        <v>2.5</v>
      </c>
      <c r="Z4">
        <v>5.3</v>
      </c>
      <c r="AB4" s="292">
        <v>27.977650000000001</v>
      </c>
      <c r="AD4" s="293">
        <v>2687.6414928311228</v>
      </c>
      <c r="AE4" s="293">
        <v>848.78613962694749</v>
      </c>
      <c r="AF4" t="s">
        <v>885</v>
      </c>
      <c r="AG4" t="s">
        <v>886</v>
      </c>
      <c r="AH4" s="247" t="s">
        <v>887</v>
      </c>
      <c r="AI4" s="292">
        <v>1.6304535066579064</v>
      </c>
      <c r="AJ4" s="249" t="s">
        <v>607</v>
      </c>
      <c r="AK4" s="2">
        <v>1.9643464126858645</v>
      </c>
      <c r="AM4" t="s">
        <v>888</v>
      </c>
      <c r="AN4" s="65">
        <v>45100</v>
      </c>
      <c r="AS4" t="s">
        <v>889</v>
      </c>
      <c r="AT4" s="247" t="s">
        <v>890</v>
      </c>
      <c r="AU4" s="245" t="s">
        <v>1018</v>
      </c>
      <c r="AV4" s="245" t="s">
        <v>1019</v>
      </c>
    </row>
    <row r="5" spans="1:48">
      <c r="A5">
        <v>95865</v>
      </c>
      <c r="B5" t="s">
        <v>747</v>
      </c>
      <c r="C5" t="s">
        <v>877</v>
      </c>
      <c r="D5" t="s">
        <v>878</v>
      </c>
      <c r="E5">
        <v>26</v>
      </c>
      <c r="F5" t="s">
        <v>879</v>
      </c>
      <c r="H5" t="s">
        <v>880</v>
      </c>
      <c r="I5" s="65">
        <v>45100</v>
      </c>
      <c r="J5" t="s">
        <v>893</v>
      </c>
      <c r="K5">
        <v>100</v>
      </c>
      <c r="L5" s="249" t="s">
        <v>882</v>
      </c>
      <c r="M5" t="s">
        <v>883</v>
      </c>
      <c r="N5" t="s">
        <v>884</v>
      </c>
      <c r="O5" t="b">
        <v>1</v>
      </c>
      <c r="P5" t="b">
        <v>0</v>
      </c>
      <c r="Q5">
        <v>2021</v>
      </c>
      <c r="V5">
        <v>3</v>
      </c>
      <c r="W5">
        <v>0</v>
      </c>
      <c r="X5" s="248">
        <v>2.5</v>
      </c>
      <c r="Z5">
        <v>5.3</v>
      </c>
      <c r="AB5" s="292">
        <v>25.977699999999999</v>
      </c>
      <c r="AD5" s="293">
        <v>5574.1599583202524</v>
      </c>
      <c r="AE5" s="293">
        <v>2766.9977775984698</v>
      </c>
      <c r="AF5" t="s">
        <v>885</v>
      </c>
      <c r="AG5" t="s">
        <v>886</v>
      </c>
      <c r="AH5" s="247" t="s">
        <v>887</v>
      </c>
      <c r="AI5" s="292">
        <v>6.2725869249441573</v>
      </c>
      <c r="AJ5" s="249" t="s">
        <v>607</v>
      </c>
      <c r="AK5" s="2">
        <v>1.9823186943222266</v>
      </c>
      <c r="AM5" t="s">
        <v>888</v>
      </c>
      <c r="AN5" s="65">
        <v>45100</v>
      </c>
      <c r="AS5" t="s">
        <v>889</v>
      </c>
      <c r="AT5" s="247" t="s">
        <v>890</v>
      </c>
      <c r="AU5" s="245" t="s">
        <v>1018</v>
      </c>
      <c r="AV5" s="245" t="s">
        <v>1019</v>
      </c>
    </row>
    <row r="6" spans="1:48">
      <c r="A6">
        <v>95866</v>
      </c>
      <c r="B6" t="s">
        <v>748</v>
      </c>
      <c r="C6" t="s">
        <v>877</v>
      </c>
      <c r="D6" t="s">
        <v>878</v>
      </c>
      <c r="E6">
        <v>26</v>
      </c>
      <c r="F6" t="s">
        <v>879</v>
      </c>
      <c r="H6" t="s">
        <v>880</v>
      </c>
      <c r="I6" s="65">
        <v>45100</v>
      </c>
      <c r="J6" t="s">
        <v>894</v>
      </c>
      <c r="K6">
        <v>100</v>
      </c>
      <c r="L6" s="249" t="s">
        <v>882</v>
      </c>
      <c r="M6" t="s">
        <v>883</v>
      </c>
      <c r="N6" t="s">
        <v>884</v>
      </c>
      <c r="O6" t="b">
        <v>1</v>
      </c>
      <c r="P6" t="b">
        <v>0</v>
      </c>
      <c r="Q6">
        <v>2021</v>
      </c>
      <c r="V6">
        <v>5</v>
      </c>
      <c r="W6">
        <v>0</v>
      </c>
      <c r="X6" s="248">
        <v>2.5</v>
      </c>
      <c r="Z6">
        <v>5.3</v>
      </c>
      <c r="AB6" s="292">
        <v>29.055160000000001</v>
      </c>
      <c r="AD6" s="293">
        <v>14864.949406511074</v>
      </c>
      <c r="AE6" s="293">
        <v>9027.9750891169788</v>
      </c>
      <c r="AF6" t="s">
        <v>885</v>
      </c>
      <c r="AG6" t="s">
        <v>886</v>
      </c>
      <c r="AH6" s="247" t="s">
        <v>887</v>
      </c>
      <c r="AI6" s="292">
        <v>7.9955010469142449</v>
      </c>
      <c r="AJ6" s="249" t="s">
        <v>607</v>
      </c>
      <c r="AK6" s="2">
        <v>1.8427525356346741</v>
      </c>
      <c r="AM6" t="s">
        <v>888</v>
      </c>
      <c r="AN6" s="65">
        <v>45100</v>
      </c>
      <c r="AS6" t="s">
        <v>889</v>
      </c>
      <c r="AT6" s="247" t="s">
        <v>890</v>
      </c>
      <c r="AU6" s="245" t="s">
        <v>1018</v>
      </c>
      <c r="AV6" s="245" t="s">
        <v>1019</v>
      </c>
    </row>
    <row r="7" spans="1:48">
      <c r="A7">
        <v>95867</v>
      </c>
      <c r="B7" t="s">
        <v>749</v>
      </c>
      <c r="C7" t="s">
        <v>877</v>
      </c>
      <c r="D7" t="s">
        <v>878</v>
      </c>
      <c r="E7">
        <v>26</v>
      </c>
      <c r="F7" t="s">
        <v>879</v>
      </c>
      <c r="H7" t="s">
        <v>880</v>
      </c>
      <c r="I7" s="65">
        <v>45100</v>
      </c>
      <c r="J7" t="s">
        <v>895</v>
      </c>
      <c r="K7">
        <v>100</v>
      </c>
      <c r="L7" s="249" t="s">
        <v>882</v>
      </c>
      <c r="M7" t="s">
        <v>883</v>
      </c>
      <c r="N7" t="s">
        <v>884</v>
      </c>
      <c r="O7" t="b">
        <v>1</v>
      </c>
      <c r="P7" t="b">
        <v>0</v>
      </c>
      <c r="Q7">
        <v>2021</v>
      </c>
      <c r="V7">
        <v>6</v>
      </c>
      <c r="W7">
        <v>0</v>
      </c>
      <c r="X7" s="248">
        <v>2.5</v>
      </c>
      <c r="Z7">
        <v>5.3</v>
      </c>
      <c r="AB7" s="292">
        <v>28.558783333333334</v>
      </c>
      <c r="AD7" s="293">
        <v>23948.802722024353</v>
      </c>
      <c r="AE7" s="293">
        <v>12753.695254896867</v>
      </c>
      <c r="AF7" t="s">
        <v>885</v>
      </c>
      <c r="AG7" t="s">
        <v>886</v>
      </c>
      <c r="AH7" s="247" t="s">
        <v>887</v>
      </c>
      <c r="AI7" s="292">
        <v>12.620156716975814</v>
      </c>
      <c r="AJ7" s="249" t="s">
        <v>607</v>
      </c>
      <c r="AK7" s="2">
        <v>1.8392284349301562</v>
      </c>
      <c r="AM7" t="s">
        <v>888</v>
      </c>
      <c r="AN7" s="65">
        <v>45100</v>
      </c>
      <c r="AS7" t="s">
        <v>889</v>
      </c>
      <c r="AT7" s="247" t="s">
        <v>890</v>
      </c>
      <c r="AU7" s="245" t="s">
        <v>1018</v>
      </c>
      <c r="AV7" s="245" t="s">
        <v>1019</v>
      </c>
    </row>
    <row r="8" spans="1:48">
      <c r="A8">
        <v>95868</v>
      </c>
      <c r="B8" t="s">
        <v>750</v>
      </c>
      <c r="C8" t="s">
        <v>877</v>
      </c>
      <c r="D8" t="s">
        <v>878</v>
      </c>
      <c r="E8">
        <v>26</v>
      </c>
      <c r="F8" t="s">
        <v>879</v>
      </c>
      <c r="H8" t="s">
        <v>880</v>
      </c>
      <c r="I8" s="65">
        <v>45100</v>
      </c>
      <c r="J8" t="s">
        <v>896</v>
      </c>
      <c r="K8">
        <v>100</v>
      </c>
      <c r="L8" s="249" t="s">
        <v>882</v>
      </c>
      <c r="M8" t="s">
        <v>883</v>
      </c>
      <c r="N8" t="s">
        <v>884</v>
      </c>
      <c r="O8" t="b">
        <v>1</v>
      </c>
      <c r="P8" t="b">
        <v>0</v>
      </c>
      <c r="Q8">
        <v>2021</v>
      </c>
      <c r="V8">
        <v>6</v>
      </c>
      <c r="W8">
        <v>0</v>
      </c>
      <c r="X8" s="248">
        <v>2.5</v>
      </c>
      <c r="Z8">
        <v>5.3</v>
      </c>
      <c r="AB8" s="292">
        <v>26.081433333333329</v>
      </c>
      <c r="AD8" s="293">
        <v>1836.9320249690584</v>
      </c>
      <c r="AE8" s="293">
        <v>908.35596439727374</v>
      </c>
      <c r="AF8" t="s">
        <v>885</v>
      </c>
      <c r="AG8" t="s">
        <v>886</v>
      </c>
      <c r="AH8" s="247" t="s">
        <v>887</v>
      </c>
      <c r="AI8" s="292">
        <v>3.4552097329346392</v>
      </c>
      <c r="AJ8" s="249" t="s">
        <v>607</v>
      </c>
      <c r="AK8" s="2">
        <v>1.979819794064086</v>
      </c>
      <c r="AM8" t="s">
        <v>888</v>
      </c>
      <c r="AN8" s="65">
        <v>45100</v>
      </c>
      <c r="AS8" t="s">
        <v>889</v>
      </c>
      <c r="AT8" s="247" t="s">
        <v>890</v>
      </c>
      <c r="AU8" s="245" t="s">
        <v>1018</v>
      </c>
      <c r="AV8" s="245" t="s">
        <v>1019</v>
      </c>
    </row>
    <row r="9" spans="1:48">
      <c r="A9">
        <v>95869</v>
      </c>
      <c r="B9" t="s">
        <v>751</v>
      </c>
      <c r="C9" t="s">
        <v>877</v>
      </c>
      <c r="D9" t="s">
        <v>878</v>
      </c>
      <c r="E9">
        <v>26</v>
      </c>
      <c r="F9" t="s">
        <v>879</v>
      </c>
      <c r="H9" t="s">
        <v>880</v>
      </c>
      <c r="I9" s="65">
        <v>45100</v>
      </c>
      <c r="J9" t="s">
        <v>897</v>
      </c>
      <c r="K9">
        <v>100</v>
      </c>
      <c r="L9" s="249" t="s">
        <v>882</v>
      </c>
      <c r="M9" t="s">
        <v>883</v>
      </c>
      <c r="N9" t="s">
        <v>884</v>
      </c>
      <c r="O9" t="b">
        <v>1</v>
      </c>
      <c r="P9" t="b">
        <v>0</v>
      </c>
      <c r="Q9">
        <v>2021</v>
      </c>
      <c r="V9">
        <v>5</v>
      </c>
      <c r="W9">
        <v>0</v>
      </c>
      <c r="X9" s="248">
        <v>2.5</v>
      </c>
      <c r="Z9">
        <v>5.3</v>
      </c>
      <c r="AB9" s="292">
        <v>27.137670999999997</v>
      </c>
      <c r="AD9" s="293">
        <v>3899.9792483365572</v>
      </c>
      <c r="AE9" s="293">
        <v>1654.4350275749869</v>
      </c>
      <c r="AF9" t="s">
        <v>885</v>
      </c>
      <c r="AG9" t="s">
        <v>886</v>
      </c>
      <c r="AH9" s="247" t="s">
        <v>887</v>
      </c>
      <c r="AI9" s="292">
        <v>3.5801495423381318</v>
      </c>
      <c r="AJ9" s="249" t="s">
        <v>607</v>
      </c>
      <c r="AK9" s="2">
        <v>1.9718947709731365</v>
      </c>
      <c r="AM9" t="s">
        <v>888</v>
      </c>
      <c r="AN9" s="65">
        <v>45100</v>
      </c>
      <c r="AS9" t="s">
        <v>889</v>
      </c>
      <c r="AT9" s="247" t="s">
        <v>890</v>
      </c>
      <c r="AU9" s="245" t="s">
        <v>1018</v>
      </c>
      <c r="AV9" s="245" t="s">
        <v>1019</v>
      </c>
    </row>
    <row r="10" spans="1:48">
      <c r="A10">
        <v>95870</v>
      </c>
      <c r="B10" t="s">
        <v>752</v>
      </c>
      <c r="C10" t="s">
        <v>877</v>
      </c>
      <c r="D10" t="s">
        <v>878</v>
      </c>
      <c r="E10">
        <v>26</v>
      </c>
      <c r="F10" t="s">
        <v>879</v>
      </c>
      <c r="H10" t="s">
        <v>880</v>
      </c>
      <c r="I10" s="65">
        <v>45100</v>
      </c>
      <c r="J10" t="s">
        <v>898</v>
      </c>
      <c r="K10">
        <v>100</v>
      </c>
      <c r="L10" s="249" t="s">
        <v>882</v>
      </c>
      <c r="M10" t="s">
        <v>883</v>
      </c>
      <c r="N10" t="s">
        <v>884</v>
      </c>
      <c r="O10" t="b">
        <v>1</v>
      </c>
      <c r="P10" t="b">
        <v>0</v>
      </c>
      <c r="Q10">
        <v>2021</v>
      </c>
      <c r="V10">
        <v>11</v>
      </c>
      <c r="W10">
        <v>0</v>
      </c>
      <c r="X10" s="248">
        <v>2.5</v>
      </c>
      <c r="Z10">
        <v>5.3</v>
      </c>
      <c r="AB10" s="292">
        <v>28.846681799999999</v>
      </c>
      <c r="AD10" s="293">
        <v>18680.167799026651</v>
      </c>
      <c r="AE10" s="293">
        <v>10592.777558744532</v>
      </c>
      <c r="AF10" t="s">
        <v>885</v>
      </c>
      <c r="AG10" t="s">
        <v>886</v>
      </c>
      <c r="AH10" s="247" t="s">
        <v>887</v>
      </c>
      <c r="AI10" s="292">
        <v>9.937856428340103</v>
      </c>
      <c r="AJ10" s="249" t="s">
        <v>607</v>
      </c>
      <c r="AK10" s="2">
        <v>1.8412724133387766</v>
      </c>
      <c r="AM10" t="s">
        <v>888</v>
      </c>
      <c r="AN10" s="65">
        <v>45100</v>
      </c>
      <c r="AS10" t="s">
        <v>889</v>
      </c>
      <c r="AT10" s="247" t="s">
        <v>890</v>
      </c>
      <c r="AU10" s="245" t="s">
        <v>1018</v>
      </c>
      <c r="AV10" s="245" t="s">
        <v>1019</v>
      </c>
    </row>
    <row r="11" spans="1:48">
      <c r="A11">
        <v>95871</v>
      </c>
      <c r="B11" t="s">
        <v>753</v>
      </c>
      <c r="C11" t="s">
        <v>877</v>
      </c>
      <c r="D11" t="s">
        <v>878</v>
      </c>
      <c r="E11">
        <v>26</v>
      </c>
      <c r="F11" t="s">
        <v>879</v>
      </c>
      <c r="H11" t="s">
        <v>880</v>
      </c>
      <c r="I11" s="65">
        <v>45100</v>
      </c>
      <c r="J11" t="s">
        <v>899</v>
      </c>
      <c r="K11">
        <v>100</v>
      </c>
      <c r="L11" s="249" t="s">
        <v>882</v>
      </c>
      <c r="M11" t="s">
        <v>883</v>
      </c>
      <c r="N11" t="s">
        <v>884</v>
      </c>
      <c r="O11" t="b">
        <v>1</v>
      </c>
      <c r="P11" t="b">
        <v>0</v>
      </c>
      <c r="Q11">
        <v>2021</v>
      </c>
      <c r="V11">
        <v>10</v>
      </c>
      <c r="W11">
        <v>0</v>
      </c>
      <c r="X11" s="248">
        <v>2.5</v>
      </c>
      <c r="Z11">
        <v>5.3</v>
      </c>
      <c r="AB11" s="292">
        <v>26.805595499999999</v>
      </c>
      <c r="AD11" s="293">
        <v>1933.5670311044964</v>
      </c>
      <c r="AE11" s="293">
        <v>859.96686305333446</v>
      </c>
      <c r="AF11" t="s">
        <v>885</v>
      </c>
      <c r="AG11" t="s">
        <v>886</v>
      </c>
      <c r="AH11" s="247" t="s">
        <v>887</v>
      </c>
      <c r="AI11" s="292">
        <v>1.3534438978358347</v>
      </c>
      <c r="AJ11" s="249" t="s">
        <v>607</v>
      </c>
      <c r="AK11" s="2">
        <v>1.9771479085292043</v>
      </c>
      <c r="AM11" t="s">
        <v>888</v>
      </c>
      <c r="AN11" s="65">
        <v>45100</v>
      </c>
      <c r="AS11" t="s">
        <v>889</v>
      </c>
      <c r="AT11" s="247" t="s">
        <v>890</v>
      </c>
      <c r="AU11" s="245" t="s">
        <v>1018</v>
      </c>
      <c r="AV11" s="245" t="s">
        <v>1019</v>
      </c>
    </row>
    <row r="12" spans="1:48">
      <c r="A12">
        <v>95872</v>
      </c>
      <c r="B12" t="s">
        <v>754</v>
      </c>
      <c r="C12" t="s">
        <v>877</v>
      </c>
      <c r="D12" t="s">
        <v>878</v>
      </c>
      <c r="E12">
        <v>26</v>
      </c>
      <c r="F12" t="s">
        <v>879</v>
      </c>
      <c r="H12" t="s">
        <v>880</v>
      </c>
      <c r="I12" s="65">
        <v>45100</v>
      </c>
      <c r="J12" t="s">
        <v>900</v>
      </c>
      <c r="K12">
        <v>100</v>
      </c>
      <c r="L12" s="249" t="s">
        <v>882</v>
      </c>
      <c r="M12" t="s">
        <v>883</v>
      </c>
      <c r="N12" t="s">
        <v>884</v>
      </c>
      <c r="O12" t="b">
        <v>1</v>
      </c>
      <c r="P12" t="b">
        <v>0</v>
      </c>
      <c r="Q12">
        <v>2021</v>
      </c>
      <c r="V12">
        <v>12</v>
      </c>
      <c r="W12">
        <v>0</v>
      </c>
      <c r="X12" s="248">
        <v>2.5</v>
      </c>
      <c r="Z12">
        <v>5.3</v>
      </c>
      <c r="AB12" s="292">
        <v>26.290794166666664</v>
      </c>
      <c r="AD12" s="293">
        <v>5427.8368185951304</v>
      </c>
      <c r="AE12" s="293">
        <v>2749.8188944188146</v>
      </c>
      <c r="AF12" t="s">
        <v>885</v>
      </c>
      <c r="AG12" t="s">
        <v>886</v>
      </c>
      <c r="AH12" s="247" t="s">
        <v>887</v>
      </c>
      <c r="AI12" s="292">
        <v>7.2335084291698832</v>
      </c>
      <c r="AJ12" s="249" t="s">
        <v>607</v>
      </c>
      <c r="AK12" s="2">
        <v>1.9604116190453564</v>
      </c>
      <c r="AM12" t="s">
        <v>888</v>
      </c>
      <c r="AN12" s="65">
        <v>45100</v>
      </c>
      <c r="AS12" t="s">
        <v>889</v>
      </c>
      <c r="AT12" s="247" t="s">
        <v>890</v>
      </c>
      <c r="AU12" s="245" t="s">
        <v>1018</v>
      </c>
      <c r="AV12" s="245" t="s">
        <v>1019</v>
      </c>
    </row>
    <row r="13" spans="1:48">
      <c r="A13">
        <v>95873</v>
      </c>
      <c r="B13" t="s">
        <v>755</v>
      </c>
      <c r="C13" t="s">
        <v>877</v>
      </c>
      <c r="D13" t="s">
        <v>878</v>
      </c>
      <c r="E13">
        <v>26</v>
      </c>
      <c r="F13" t="s">
        <v>879</v>
      </c>
      <c r="H13" t="s">
        <v>880</v>
      </c>
      <c r="I13" s="65">
        <v>45100</v>
      </c>
      <c r="J13" t="s">
        <v>901</v>
      </c>
      <c r="K13">
        <v>100</v>
      </c>
      <c r="L13" s="249" t="s">
        <v>882</v>
      </c>
      <c r="M13" t="s">
        <v>883</v>
      </c>
      <c r="N13" t="s">
        <v>884</v>
      </c>
      <c r="O13" t="b">
        <v>1</v>
      </c>
      <c r="P13" t="b">
        <v>0</v>
      </c>
      <c r="Q13">
        <v>2021</v>
      </c>
      <c r="V13">
        <v>22</v>
      </c>
      <c r="W13">
        <v>0</v>
      </c>
      <c r="X13" s="248">
        <v>2.5</v>
      </c>
      <c r="Z13">
        <v>5.3</v>
      </c>
      <c r="AB13" s="292">
        <v>26.589378939999996</v>
      </c>
      <c r="AD13" s="293">
        <v>3401.1603418505629</v>
      </c>
      <c r="AE13" s="293">
        <v>1653.7047162268361</v>
      </c>
      <c r="AF13" t="s">
        <v>885</v>
      </c>
      <c r="AG13" t="s">
        <v>886</v>
      </c>
      <c r="AH13" s="247" t="s">
        <v>887</v>
      </c>
      <c r="AI13" s="292">
        <v>3.8230710009961353</v>
      </c>
      <c r="AJ13" s="249" t="s">
        <v>607</v>
      </c>
      <c r="AK13" s="2">
        <v>1.970118666945988</v>
      </c>
      <c r="AM13" t="s">
        <v>888</v>
      </c>
      <c r="AN13" s="65">
        <v>45100</v>
      </c>
      <c r="AS13" t="s">
        <v>889</v>
      </c>
      <c r="AT13" s="247" t="s">
        <v>890</v>
      </c>
      <c r="AU13" s="245" t="s">
        <v>1018</v>
      </c>
      <c r="AV13" s="245" t="s">
        <v>1019</v>
      </c>
    </row>
    <row r="14" spans="1:48">
      <c r="AU14" s="245"/>
      <c r="AV14" s="245"/>
    </row>
  </sheetData>
  <hyperlinks>
    <hyperlink ref="AU13" r:id="rId1" xr:uid="{B400C11D-5D97-4FA8-9F70-F235F56DA32E}"/>
    <hyperlink ref="AV13" r:id="rId2" xr:uid="{45E26FE2-34D4-4C82-82A5-231BC4017C9B}"/>
    <hyperlink ref="AU2" r:id="rId3" xr:uid="{E98AD204-FA24-4816-8224-9A4446A56DAF}"/>
    <hyperlink ref="AU3" r:id="rId4" xr:uid="{1AB13A78-F2C1-4488-BDA1-6F3A7A6866C3}"/>
    <hyperlink ref="AU4" r:id="rId5" xr:uid="{52A6F5AD-045C-4114-9BD2-884534B9F716}"/>
    <hyperlink ref="AU5" r:id="rId6" xr:uid="{B787B062-0909-4D9D-8B38-A9DE312EC2E0}"/>
    <hyperlink ref="AU6" r:id="rId7" xr:uid="{4D15C1DD-B402-4C27-88E9-288B5C48D902}"/>
    <hyperlink ref="AU7" r:id="rId8" xr:uid="{52D3B4A6-417C-40C7-9923-9E932F002B52}"/>
    <hyperlink ref="AU8" r:id="rId9" xr:uid="{506ECB29-B97A-4F1B-9B5A-E08819F70514}"/>
    <hyperlink ref="AU9" r:id="rId10" xr:uid="{1D6E6C9D-E0DD-42A4-A420-2DA571BB85FF}"/>
    <hyperlink ref="AU10" r:id="rId11" xr:uid="{AA57807B-7731-4BD6-A628-724F01A04336}"/>
    <hyperlink ref="AU11" r:id="rId12" xr:uid="{0B6E2B49-E1AA-4B0B-9961-20162641B3AE}"/>
    <hyperlink ref="AU12" r:id="rId13" xr:uid="{8DF28E40-9375-44BB-879C-C902DE792CEC}"/>
    <hyperlink ref="AV2" r:id="rId14" xr:uid="{524097B6-A3EB-48C2-8281-852EB1643344}"/>
    <hyperlink ref="AV3" r:id="rId15" xr:uid="{74ACF3A1-CAC6-49D0-AA81-7E01793FFEC0}"/>
    <hyperlink ref="AV4" r:id="rId16" xr:uid="{F7221227-5E43-4548-85D1-D491045F69A7}"/>
    <hyperlink ref="AV5" r:id="rId17" xr:uid="{7507DC48-EE4C-427A-BD94-3DD6D7D45B10}"/>
    <hyperlink ref="AV6" r:id="rId18" xr:uid="{ABB2F940-B31C-43E3-8AD0-37D017D36C9E}"/>
    <hyperlink ref="AV7" r:id="rId19" xr:uid="{68785E49-679C-4E68-B8DC-E9332B65150F}"/>
    <hyperlink ref="AV8" r:id="rId20" xr:uid="{3684B54F-8D10-4B43-9749-03B2BF12E34D}"/>
    <hyperlink ref="AV9" r:id="rId21" xr:uid="{0E451C19-9A9D-4BDF-B67F-53CA1198B1C4}"/>
    <hyperlink ref="AV10" r:id="rId22" xr:uid="{3DF907C7-241B-414D-8059-62A230252CA8}"/>
    <hyperlink ref="AV11" r:id="rId23" xr:uid="{A903BF1D-54CF-4A07-A953-3B7A3DDA8980}"/>
    <hyperlink ref="AV12" r:id="rId24" xr:uid="{199E7207-CB43-408A-8DF7-1A7E3A04E674}"/>
  </hyperlinks>
  <pageMargins left="0.7" right="0.7" top="0.75" bottom="0.75" header="0.3" footer="0.3"/>
  <pageSetup orientation="portrait" r:id="rId2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E19AB-8105-468D-BF44-25A699956A37}">
  <dimension ref="A1:I408"/>
  <sheetViews>
    <sheetView zoomScale="70" zoomScaleNormal="70" workbookViewId="0">
      <pane ySplit="1" topLeftCell="A2" activePane="bottomLeft" state="frozen"/>
      <selection pane="bottomLeft" activeCell="C27" sqref="C2:C27"/>
    </sheetView>
  </sheetViews>
  <sheetFormatPr defaultRowHeight="15"/>
  <cols>
    <col min="1" max="9" width="12.7109375" customWidth="1"/>
  </cols>
  <sheetData>
    <row r="1" spans="1:9">
      <c r="A1" s="242" t="s">
        <v>742</v>
      </c>
      <c r="B1" s="242" t="s">
        <v>602</v>
      </c>
      <c r="C1" s="242" t="s">
        <v>902</v>
      </c>
      <c r="D1" s="242" t="s">
        <v>903</v>
      </c>
      <c r="E1" s="242" t="s">
        <v>904</v>
      </c>
      <c r="F1" s="242" t="s">
        <v>905</v>
      </c>
      <c r="G1" s="242" t="s">
        <v>671</v>
      </c>
      <c r="H1" s="242" t="s">
        <v>906</v>
      </c>
      <c r="I1" s="242" t="s">
        <v>907</v>
      </c>
    </row>
    <row r="2" spans="1:9">
      <c r="A2">
        <v>95862</v>
      </c>
      <c r="B2">
        <v>296</v>
      </c>
      <c r="C2">
        <v>1.379117218343748E-2</v>
      </c>
      <c r="D2" s="243" t="s">
        <v>908</v>
      </c>
      <c r="E2">
        <v>-99</v>
      </c>
      <c r="F2" t="s">
        <v>909</v>
      </c>
      <c r="G2" t="s">
        <v>604</v>
      </c>
      <c r="H2" t="s">
        <v>878</v>
      </c>
    </row>
    <row r="3" spans="1:9">
      <c r="A3">
        <v>95862</v>
      </c>
      <c r="B3">
        <v>328</v>
      </c>
      <c r="C3">
        <v>5.0853438313917506E-3</v>
      </c>
      <c r="D3" s="243" t="s">
        <v>908</v>
      </c>
      <c r="E3">
        <v>-99</v>
      </c>
      <c r="F3" t="s">
        <v>909</v>
      </c>
      <c r="G3" t="s">
        <v>604</v>
      </c>
      <c r="H3" t="s">
        <v>878</v>
      </c>
    </row>
    <row r="4" spans="1:9">
      <c r="A4">
        <v>95862</v>
      </c>
      <c r="B4">
        <v>347</v>
      </c>
      <c r="C4">
        <v>7.6863057431267784E-2</v>
      </c>
      <c r="D4" s="243" t="s">
        <v>908</v>
      </c>
      <c r="E4">
        <v>-99</v>
      </c>
      <c r="F4" t="s">
        <v>909</v>
      </c>
      <c r="G4" t="s">
        <v>604</v>
      </c>
      <c r="H4" t="s">
        <v>878</v>
      </c>
    </row>
    <row r="5" spans="1:9">
      <c r="A5">
        <v>95862</v>
      </c>
      <c r="B5">
        <v>380</v>
      </c>
      <c r="C5">
        <v>9.8837783873823937E-4</v>
      </c>
      <c r="D5" s="243" t="s">
        <v>908</v>
      </c>
      <c r="E5">
        <v>-99</v>
      </c>
      <c r="F5" t="s">
        <v>909</v>
      </c>
      <c r="G5" t="s">
        <v>604</v>
      </c>
      <c r="H5" t="s">
        <v>878</v>
      </c>
    </row>
    <row r="6" spans="1:9">
      <c r="A6">
        <v>95862</v>
      </c>
      <c r="B6">
        <v>487</v>
      </c>
      <c r="C6">
        <v>3.09691145269669E-3</v>
      </c>
      <c r="D6" s="243" t="s">
        <v>908</v>
      </c>
      <c r="E6">
        <v>-99</v>
      </c>
      <c r="F6" t="s">
        <v>909</v>
      </c>
      <c r="G6" t="s">
        <v>604</v>
      </c>
      <c r="H6" t="s">
        <v>878</v>
      </c>
    </row>
    <row r="7" spans="1:9">
      <c r="A7">
        <v>95862</v>
      </c>
      <c r="B7">
        <v>519</v>
      </c>
      <c r="C7">
        <v>2.2041489737111136E-4</v>
      </c>
      <c r="D7" s="243" t="s">
        <v>908</v>
      </c>
      <c r="E7">
        <v>-99</v>
      </c>
      <c r="F7" t="s">
        <v>909</v>
      </c>
      <c r="G7" t="s">
        <v>604</v>
      </c>
      <c r="H7" t="s">
        <v>878</v>
      </c>
    </row>
    <row r="8" spans="1:9">
      <c r="A8">
        <v>95862</v>
      </c>
      <c r="B8">
        <v>525</v>
      </c>
      <c r="C8">
        <v>2.3097162262969411E-2</v>
      </c>
      <c r="D8" s="243" t="s">
        <v>908</v>
      </c>
      <c r="E8">
        <v>-99</v>
      </c>
      <c r="F8" t="s">
        <v>909</v>
      </c>
      <c r="G8" t="s">
        <v>604</v>
      </c>
      <c r="H8" t="s">
        <v>878</v>
      </c>
    </row>
    <row r="9" spans="1:9">
      <c r="A9">
        <v>95862</v>
      </c>
      <c r="B9">
        <v>528</v>
      </c>
      <c r="C9">
        <v>4.9323676270100682E-4</v>
      </c>
      <c r="D9" s="243" t="s">
        <v>908</v>
      </c>
      <c r="E9">
        <v>-99</v>
      </c>
      <c r="F9" t="s">
        <v>909</v>
      </c>
      <c r="G9" t="s">
        <v>604</v>
      </c>
      <c r="H9" t="s">
        <v>878</v>
      </c>
    </row>
    <row r="10" spans="1:9">
      <c r="A10">
        <v>95862</v>
      </c>
      <c r="B10">
        <v>586</v>
      </c>
      <c r="C10">
        <v>1.2009242917937557E-3</v>
      </c>
      <c r="D10" s="243" t="s">
        <v>908</v>
      </c>
      <c r="E10">
        <v>-99</v>
      </c>
      <c r="F10" t="s">
        <v>909</v>
      </c>
      <c r="G10" t="s">
        <v>604</v>
      </c>
      <c r="H10" t="s">
        <v>878</v>
      </c>
    </row>
    <row r="11" spans="1:9">
      <c r="A11">
        <v>95862</v>
      </c>
      <c r="B11">
        <v>626</v>
      </c>
      <c r="C11">
        <v>44.083247518003652</v>
      </c>
      <c r="D11" s="243" t="s">
        <v>908</v>
      </c>
      <c r="E11">
        <v>-99</v>
      </c>
      <c r="F11" t="s">
        <v>909</v>
      </c>
      <c r="G11" t="s">
        <v>910</v>
      </c>
      <c r="H11" t="s">
        <v>878</v>
      </c>
    </row>
    <row r="12" spans="1:9">
      <c r="A12">
        <v>95862</v>
      </c>
      <c r="B12">
        <v>666</v>
      </c>
      <c r="C12">
        <v>4.0968203718355469E-3</v>
      </c>
      <c r="D12" s="243" t="s">
        <v>908</v>
      </c>
      <c r="E12">
        <v>-99</v>
      </c>
      <c r="F12" t="s">
        <v>909</v>
      </c>
      <c r="G12" t="s">
        <v>604</v>
      </c>
      <c r="H12" t="s">
        <v>878</v>
      </c>
    </row>
    <row r="13" spans="1:9">
      <c r="A13">
        <v>95862</v>
      </c>
      <c r="B13">
        <v>669</v>
      </c>
      <c r="C13">
        <v>1.6261461354964732</v>
      </c>
      <c r="D13" s="243" t="s">
        <v>908</v>
      </c>
      <c r="E13">
        <v>-99</v>
      </c>
      <c r="F13" t="s">
        <v>909</v>
      </c>
      <c r="G13" t="s">
        <v>604</v>
      </c>
      <c r="H13" t="s">
        <v>878</v>
      </c>
    </row>
    <row r="14" spans="1:9">
      <c r="A14">
        <v>95862</v>
      </c>
      <c r="B14">
        <v>689</v>
      </c>
      <c r="C14">
        <v>4.7087718840131704E-3</v>
      </c>
      <c r="D14" s="243" t="s">
        <v>908</v>
      </c>
      <c r="E14">
        <v>-99</v>
      </c>
      <c r="F14" t="s">
        <v>909</v>
      </c>
      <c r="G14" t="s">
        <v>604</v>
      </c>
      <c r="H14" t="s">
        <v>878</v>
      </c>
    </row>
    <row r="15" spans="1:9">
      <c r="A15">
        <v>95862</v>
      </c>
      <c r="B15">
        <v>693</v>
      </c>
      <c r="C15">
        <v>1.6184579125347153E-3</v>
      </c>
      <c r="D15" s="243" t="s">
        <v>908</v>
      </c>
      <c r="E15">
        <v>-99</v>
      </c>
      <c r="F15" t="s">
        <v>909</v>
      </c>
      <c r="G15" t="s">
        <v>604</v>
      </c>
      <c r="H15" t="s">
        <v>878</v>
      </c>
    </row>
    <row r="16" spans="1:9">
      <c r="A16">
        <v>95862</v>
      </c>
      <c r="B16">
        <v>694</v>
      </c>
      <c r="C16">
        <v>0.15799599489708735</v>
      </c>
      <c r="D16" s="243" t="s">
        <v>908</v>
      </c>
      <c r="E16">
        <v>-99</v>
      </c>
      <c r="F16" t="s">
        <v>909</v>
      </c>
      <c r="G16" t="s">
        <v>604</v>
      </c>
      <c r="H16" t="s">
        <v>878</v>
      </c>
    </row>
    <row r="17" spans="1:8">
      <c r="A17">
        <v>95862</v>
      </c>
      <c r="B17">
        <v>695</v>
      </c>
      <c r="C17">
        <v>8.5320034095840644E-3</v>
      </c>
      <c r="D17" s="243" t="s">
        <v>908</v>
      </c>
      <c r="E17">
        <v>-99</v>
      </c>
      <c r="F17" t="s">
        <v>909</v>
      </c>
      <c r="G17" t="s">
        <v>604</v>
      </c>
      <c r="H17" t="s">
        <v>878</v>
      </c>
    </row>
    <row r="18" spans="1:8">
      <c r="A18">
        <v>95862</v>
      </c>
      <c r="B18">
        <v>699</v>
      </c>
      <c r="C18">
        <v>2.0074789755479969</v>
      </c>
      <c r="D18" s="243" t="s">
        <v>908</v>
      </c>
      <c r="E18">
        <v>-99</v>
      </c>
      <c r="F18" t="s">
        <v>909</v>
      </c>
      <c r="G18" t="s">
        <v>676</v>
      </c>
      <c r="H18" t="s">
        <v>878</v>
      </c>
    </row>
    <row r="19" spans="1:8">
      <c r="A19">
        <v>95862</v>
      </c>
      <c r="B19">
        <v>714</v>
      </c>
      <c r="C19">
        <v>3.6261802333314962E-3</v>
      </c>
      <c r="D19" s="243" t="s">
        <v>908</v>
      </c>
      <c r="E19">
        <v>-99</v>
      </c>
      <c r="F19" t="s">
        <v>909</v>
      </c>
      <c r="G19" t="s">
        <v>604</v>
      </c>
      <c r="H19" t="s">
        <v>878</v>
      </c>
    </row>
    <row r="20" spans="1:8">
      <c r="A20">
        <v>95862</v>
      </c>
      <c r="B20">
        <v>767</v>
      </c>
      <c r="C20">
        <v>5.1869452902309117E-4</v>
      </c>
      <c r="D20" s="243" t="s">
        <v>908</v>
      </c>
      <c r="E20">
        <v>-99</v>
      </c>
      <c r="F20" t="s">
        <v>909</v>
      </c>
      <c r="G20" t="s">
        <v>604</v>
      </c>
      <c r="H20" t="s">
        <v>878</v>
      </c>
    </row>
    <row r="21" spans="1:8">
      <c r="A21">
        <v>95862</v>
      </c>
      <c r="B21">
        <v>778</v>
      </c>
      <c r="C21">
        <v>0.12476789650340402</v>
      </c>
      <c r="D21" s="243" t="s">
        <v>908</v>
      </c>
      <c r="E21">
        <v>-99</v>
      </c>
      <c r="F21" t="s">
        <v>909</v>
      </c>
      <c r="G21" t="s">
        <v>604</v>
      </c>
      <c r="H21" t="s">
        <v>878</v>
      </c>
    </row>
    <row r="22" spans="1:8">
      <c r="A22">
        <v>95862</v>
      </c>
      <c r="B22">
        <v>779</v>
      </c>
      <c r="C22">
        <v>2.3589584303091631E-4</v>
      </c>
      <c r="D22" s="243" t="s">
        <v>908</v>
      </c>
      <c r="E22">
        <v>-99</v>
      </c>
      <c r="F22" t="s">
        <v>909</v>
      </c>
      <c r="G22" t="s">
        <v>604</v>
      </c>
      <c r="H22" t="s">
        <v>878</v>
      </c>
    </row>
    <row r="23" spans="1:8">
      <c r="A23">
        <v>95862</v>
      </c>
      <c r="B23">
        <v>795</v>
      </c>
      <c r="C23">
        <v>0.55361753243755818</v>
      </c>
      <c r="D23" s="243" t="s">
        <v>908</v>
      </c>
      <c r="E23">
        <v>-99</v>
      </c>
      <c r="F23" t="s">
        <v>909</v>
      </c>
      <c r="G23" t="s">
        <v>604</v>
      </c>
      <c r="H23" t="s">
        <v>878</v>
      </c>
    </row>
    <row r="24" spans="1:8">
      <c r="A24">
        <v>95862</v>
      </c>
      <c r="B24">
        <v>797</v>
      </c>
      <c r="C24">
        <v>6.9874672104755549</v>
      </c>
      <c r="D24" s="243" t="s">
        <v>908</v>
      </c>
      <c r="E24">
        <v>-99</v>
      </c>
      <c r="F24" t="s">
        <v>909</v>
      </c>
      <c r="G24" t="s">
        <v>910</v>
      </c>
      <c r="H24" t="s">
        <v>878</v>
      </c>
    </row>
    <row r="25" spans="1:8">
      <c r="A25">
        <v>95862</v>
      </c>
      <c r="B25">
        <v>2668</v>
      </c>
      <c r="C25">
        <v>0.48179495413151924</v>
      </c>
      <c r="D25" s="243" t="s">
        <v>908</v>
      </c>
      <c r="E25">
        <v>-99</v>
      </c>
      <c r="F25" t="s">
        <v>909</v>
      </c>
      <c r="G25" t="s">
        <v>676</v>
      </c>
      <c r="H25" t="s">
        <v>878</v>
      </c>
    </row>
    <row r="26" spans="1:8">
      <c r="A26">
        <v>95862</v>
      </c>
      <c r="B26">
        <v>2669</v>
      </c>
      <c r="C26">
        <v>43.538625164748652</v>
      </c>
      <c r="D26" s="243" t="s">
        <v>908</v>
      </c>
      <c r="E26">
        <v>-99</v>
      </c>
      <c r="F26" t="s">
        <v>909</v>
      </c>
      <c r="G26" t="s">
        <v>676</v>
      </c>
      <c r="H26" t="s">
        <v>878</v>
      </c>
    </row>
    <row r="27" spans="1:8">
      <c r="A27">
        <v>95862</v>
      </c>
      <c r="B27">
        <v>2670</v>
      </c>
      <c r="C27">
        <v>0.29069085085273677</v>
      </c>
      <c r="D27" s="243" t="s">
        <v>908</v>
      </c>
      <c r="E27">
        <v>-99</v>
      </c>
      <c r="F27" t="s">
        <v>909</v>
      </c>
      <c r="G27" t="s">
        <v>676</v>
      </c>
      <c r="H27" t="s">
        <v>878</v>
      </c>
    </row>
    <row r="28" spans="1:8">
      <c r="A28">
        <v>95863</v>
      </c>
      <c r="B28">
        <v>292</v>
      </c>
      <c r="C28">
        <v>5.9206461448159159E-4</v>
      </c>
      <c r="D28" s="243" t="s">
        <v>908</v>
      </c>
      <c r="E28">
        <v>-99</v>
      </c>
      <c r="F28" t="s">
        <v>909</v>
      </c>
      <c r="G28" t="s">
        <v>604</v>
      </c>
      <c r="H28" t="s">
        <v>878</v>
      </c>
    </row>
    <row r="29" spans="1:8">
      <c r="A29">
        <v>95863</v>
      </c>
      <c r="B29">
        <v>296</v>
      </c>
      <c r="C29">
        <v>7.4902308241385376E-4</v>
      </c>
      <c r="D29" s="243" t="s">
        <v>908</v>
      </c>
      <c r="E29">
        <v>-99</v>
      </c>
      <c r="F29" t="s">
        <v>909</v>
      </c>
      <c r="G29" t="s">
        <v>604</v>
      </c>
      <c r="H29" t="s">
        <v>878</v>
      </c>
    </row>
    <row r="30" spans="1:8">
      <c r="A30">
        <v>95863</v>
      </c>
      <c r="B30">
        <v>300</v>
      </c>
      <c r="C30">
        <v>1.4392080240581459E-3</v>
      </c>
      <c r="D30" s="243" t="s">
        <v>908</v>
      </c>
      <c r="E30">
        <v>-99</v>
      </c>
      <c r="F30" t="s">
        <v>909</v>
      </c>
      <c r="G30" t="s">
        <v>604</v>
      </c>
      <c r="H30" t="s">
        <v>878</v>
      </c>
    </row>
    <row r="31" spans="1:8">
      <c r="A31">
        <v>95863</v>
      </c>
      <c r="B31">
        <v>328</v>
      </c>
      <c r="C31">
        <v>2.4970535657705723E-3</v>
      </c>
      <c r="D31" s="243" t="s">
        <v>908</v>
      </c>
      <c r="E31">
        <v>-99</v>
      </c>
      <c r="F31" t="s">
        <v>909</v>
      </c>
      <c r="G31" t="s">
        <v>604</v>
      </c>
      <c r="H31" t="s">
        <v>878</v>
      </c>
    </row>
    <row r="32" spans="1:8">
      <c r="A32">
        <v>95863</v>
      </c>
      <c r="B32">
        <v>329</v>
      </c>
      <c r="C32">
        <v>3.7404075881193682E-2</v>
      </c>
      <c r="D32" s="243" t="s">
        <v>908</v>
      </c>
      <c r="E32">
        <v>-99</v>
      </c>
      <c r="F32" t="s">
        <v>909</v>
      </c>
      <c r="G32" t="s">
        <v>604</v>
      </c>
      <c r="H32" t="s">
        <v>878</v>
      </c>
    </row>
    <row r="33" spans="1:8">
      <c r="A33">
        <v>95863</v>
      </c>
      <c r="B33">
        <v>380</v>
      </c>
      <c r="C33">
        <v>4.0039390514520854E-4</v>
      </c>
      <c r="D33" s="243" t="s">
        <v>908</v>
      </c>
      <c r="E33">
        <v>-99</v>
      </c>
      <c r="F33" t="s">
        <v>909</v>
      </c>
      <c r="G33" t="s">
        <v>604</v>
      </c>
      <c r="H33" t="s">
        <v>878</v>
      </c>
    </row>
    <row r="34" spans="1:8">
      <c r="A34">
        <v>95863</v>
      </c>
      <c r="B34">
        <v>487</v>
      </c>
      <c r="C34">
        <v>4.1034181616452624E-3</v>
      </c>
      <c r="D34" s="243" t="s">
        <v>908</v>
      </c>
      <c r="E34">
        <v>-99</v>
      </c>
      <c r="F34" t="s">
        <v>909</v>
      </c>
      <c r="G34" t="s">
        <v>604</v>
      </c>
      <c r="H34" t="s">
        <v>878</v>
      </c>
    </row>
    <row r="35" spans="1:8">
      <c r="A35">
        <v>95863</v>
      </c>
      <c r="B35">
        <v>488</v>
      </c>
      <c r="C35">
        <v>5.897845361495721E-4</v>
      </c>
      <c r="D35" s="243" t="s">
        <v>908</v>
      </c>
      <c r="E35">
        <v>-99</v>
      </c>
      <c r="F35" t="s">
        <v>909</v>
      </c>
      <c r="G35" t="s">
        <v>604</v>
      </c>
      <c r="H35" t="s">
        <v>878</v>
      </c>
    </row>
    <row r="36" spans="1:8">
      <c r="A36">
        <v>95863</v>
      </c>
      <c r="B36">
        <v>525</v>
      </c>
      <c r="C36">
        <v>1.8876578494792461E-3</v>
      </c>
      <c r="D36" s="243" t="s">
        <v>908</v>
      </c>
      <c r="E36">
        <v>-99</v>
      </c>
      <c r="F36" t="s">
        <v>909</v>
      </c>
      <c r="G36" t="s">
        <v>604</v>
      </c>
      <c r="H36" t="s">
        <v>878</v>
      </c>
    </row>
    <row r="37" spans="1:8">
      <c r="A37">
        <v>95863</v>
      </c>
      <c r="B37">
        <v>526</v>
      </c>
      <c r="C37">
        <v>3.1759004708383003E-4</v>
      </c>
      <c r="D37" s="243" t="s">
        <v>908</v>
      </c>
      <c r="E37">
        <v>-99</v>
      </c>
      <c r="F37" t="s">
        <v>909</v>
      </c>
      <c r="G37" t="s">
        <v>604</v>
      </c>
      <c r="H37" t="s">
        <v>878</v>
      </c>
    </row>
    <row r="38" spans="1:8">
      <c r="A38">
        <v>95863</v>
      </c>
      <c r="B38">
        <v>528</v>
      </c>
      <c r="C38">
        <v>3.2010158046032102E-4</v>
      </c>
      <c r="D38" s="243" t="s">
        <v>908</v>
      </c>
      <c r="E38">
        <v>-99</v>
      </c>
      <c r="F38" t="s">
        <v>909</v>
      </c>
      <c r="G38" t="s">
        <v>604</v>
      </c>
      <c r="H38" t="s">
        <v>878</v>
      </c>
    </row>
    <row r="39" spans="1:8">
      <c r="A39">
        <v>95863</v>
      </c>
      <c r="B39">
        <v>626</v>
      </c>
      <c r="C39">
        <v>49.910452952131749</v>
      </c>
      <c r="D39" s="243" t="s">
        <v>908</v>
      </c>
      <c r="E39">
        <v>-99</v>
      </c>
      <c r="F39" t="s">
        <v>909</v>
      </c>
      <c r="G39" t="s">
        <v>910</v>
      </c>
      <c r="H39" t="s">
        <v>878</v>
      </c>
    </row>
    <row r="40" spans="1:8">
      <c r="A40">
        <v>95863</v>
      </c>
      <c r="B40">
        <v>649</v>
      </c>
      <c r="C40">
        <v>4.7779868259886153E-4</v>
      </c>
      <c r="D40" s="243" t="s">
        <v>908</v>
      </c>
      <c r="E40">
        <v>-99</v>
      </c>
      <c r="F40" t="s">
        <v>909</v>
      </c>
      <c r="G40" t="s">
        <v>604</v>
      </c>
      <c r="H40" t="s">
        <v>878</v>
      </c>
    </row>
    <row r="41" spans="1:8">
      <c r="A41">
        <v>95863</v>
      </c>
      <c r="B41">
        <v>666</v>
      </c>
      <c r="C41">
        <v>1.5355653859888787E-3</v>
      </c>
      <c r="D41" s="243" t="s">
        <v>908</v>
      </c>
      <c r="E41">
        <v>-99</v>
      </c>
      <c r="F41" t="s">
        <v>909</v>
      </c>
      <c r="G41" t="s">
        <v>604</v>
      </c>
      <c r="H41" t="s">
        <v>878</v>
      </c>
    </row>
    <row r="42" spans="1:8">
      <c r="A42">
        <v>95863</v>
      </c>
      <c r="B42">
        <v>669</v>
      </c>
      <c r="C42">
        <v>0.28797925978964584</v>
      </c>
      <c r="D42" s="243" t="s">
        <v>908</v>
      </c>
      <c r="E42">
        <v>-99</v>
      </c>
      <c r="F42" t="s">
        <v>909</v>
      </c>
      <c r="G42" t="s">
        <v>604</v>
      </c>
      <c r="H42" t="s">
        <v>878</v>
      </c>
    </row>
    <row r="43" spans="1:8">
      <c r="A43">
        <v>95863</v>
      </c>
      <c r="B43">
        <v>689</v>
      </c>
      <c r="C43">
        <v>1.5310890623762325E-3</v>
      </c>
      <c r="D43" s="243" t="s">
        <v>908</v>
      </c>
      <c r="E43">
        <v>-99</v>
      </c>
      <c r="F43" t="s">
        <v>909</v>
      </c>
      <c r="G43" t="s">
        <v>604</v>
      </c>
      <c r="H43" t="s">
        <v>878</v>
      </c>
    </row>
    <row r="44" spans="1:8">
      <c r="A44">
        <v>95863</v>
      </c>
      <c r="B44">
        <v>693</v>
      </c>
      <c r="C44">
        <v>1.526975860622792E-4</v>
      </c>
      <c r="D44" s="243" t="s">
        <v>908</v>
      </c>
      <c r="E44">
        <v>-99</v>
      </c>
      <c r="F44" t="s">
        <v>909</v>
      </c>
      <c r="G44" t="s">
        <v>604</v>
      </c>
      <c r="H44" t="s">
        <v>878</v>
      </c>
    </row>
    <row r="45" spans="1:8">
      <c r="A45">
        <v>95863</v>
      </c>
      <c r="B45">
        <v>694</v>
      </c>
      <c r="C45">
        <v>3.1521993611833703E-4</v>
      </c>
      <c r="D45" s="243" t="s">
        <v>908</v>
      </c>
      <c r="E45">
        <v>-99</v>
      </c>
      <c r="F45" t="s">
        <v>909</v>
      </c>
      <c r="G45" t="s">
        <v>604</v>
      </c>
      <c r="H45" t="s">
        <v>878</v>
      </c>
    </row>
    <row r="46" spans="1:8">
      <c r="A46">
        <v>95863</v>
      </c>
      <c r="B46">
        <v>695</v>
      </c>
      <c r="C46">
        <v>2.1694786415119691E-4</v>
      </c>
      <c r="D46" s="243" t="s">
        <v>908</v>
      </c>
      <c r="E46">
        <v>-99</v>
      </c>
      <c r="F46" t="s">
        <v>909</v>
      </c>
      <c r="G46" t="s">
        <v>604</v>
      </c>
      <c r="H46" t="s">
        <v>878</v>
      </c>
    </row>
    <row r="47" spans="1:8">
      <c r="A47">
        <v>95863</v>
      </c>
      <c r="B47">
        <v>696</v>
      </c>
      <c r="C47">
        <v>1.5820796403556276E-3</v>
      </c>
      <c r="D47" s="243" t="s">
        <v>908</v>
      </c>
      <c r="E47">
        <v>-99</v>
      </c>
      <c r="F47" t="s">
        <v>909</v>
      </c>
      <c r="G47" t="s">
        <v>604</v>
      </c>
      <c r="H47" t="s">
        <v>878</v>
      </c>
    </row>
    <row r="48" spans="1:8">
      <c r="A48">
        <v>95863</v>
      </c>
      <c r="B48">
        <v>697</v>
      </c>
      <c r="C48">
        <v>3.7380648283831324E-4</v>
      </c>
      <c r="D48" s="243" t="s">
        <v>908</v>
      </c>
      <c r="E48">
        <v>-99</v>
      </c>
      <c r="F48" t="s">
        <v>909</v>
      </c>
      <c r="G48" t="s">
        <v>604</v>
      </c>
      <c r="H48" t="s">
        <v>878</v>
      </c>
    </row>
    <row r="49" spans="1:8">
      <c r="A49">
        <v>95863</v>
      </c>
      <c r="B49">
        <v>699</v>
      </c>
      <c r="C49">
        <v>0.34596623482262506</v>
      </c>
      <c r="D49" s="243" t="s">
        <v>908</v>
      </c>
      <c r="E49">
        <v>-99</v>
      </c>
      <c r="F49" t="s">
        <v>909</v>
      </c>
      <c r="G49" t="s">
        <v>676</v>
      </c>
      <c r="H49" t="s">
        <v>878</v>
      </c>
    </row>
    <row r="50" spans="1:8">
      <c r="A50">
        <v>95863</v>
      </c>
      <c r="B50">
        <v>714</v>
      </c>
      <c r="C50">
        <v>1.6730867825067016E-3</v>
      </c>
      <c r="D50" s="243" t="s">
        <v>908</v>
      </c>
      <c r="E50">
        <v>-99</v>
      </c>
      <c r="F50" t="s">
        <v>909</v>
      </c>
      <c r="G50" t="s">
        <v>604</v>
      </c>
      <c r="H50" t="s">
        <v>878</v>
      </c>
    </row>
    <row r="51" spans="1:8">
      <c r="A51">
        <v>95863</v>
      </c>
      <c r="B51">
        <v>715</v>
      </c>
      <c r="C51">
        <v>4.2721135739849777E-4</v>
      </c>
      <c r="D51" s="243" t="s">
        <v>908</v>
      </c>
      <c r="E51">
        <v>-99</v>
      </c>
      <c r="F51" t="s">
        <v>909</v>
      </c>
      <c r="G51" t="s">
        <v>604</v>
      </c>
      <c r="H51" t="s">
        <v>878</v>
      </c>
    </row>
    <row r="52" spans="1:8">
      <c r="A52">
        <v>95863</v>
      </c>
      <c r="B52">
        <v>778</v>
      </c>
      <c r="C52">
        <v>2.1165040306349598E-2</v>
      </c>
      <c r="D52" s="243" t="s">
        <v>908</v>
      </c>
      <c r="E52">
        <v>-99</v>
      </c>
      <c r="F52" t="s">
        <v>909</v>
      </c>
      <c r="G52" t="s">
        <v>604</v>
      </c>
      <c r="H52" t="s">
        <v>878</v>
      </c>
    </row>
    <row r="53" spans="1:8">
      <c r="A53">
        <v>95863</v>
      </c>
      <c r="B53">
        <v>779</v>
      </c>
      <c r="C53">
        <v>1.0900828642079844E-4</v>
      </c>
      <c r="D53" s="243" t="s">
        <v>908</v>
      </c>
      <c r="E53">
        <v>-99</v>
      </c>
      <c r="F53" t="s">
        <v>909</v>
      </c>
      <c r="G53" t="s">
        <v>604</v>
      </c>
      <c r="H53" t="s">
        <v>878</v>
      </c>
    </row>
    <row r="54" spans="1:8">
      <c r="A54">
        <v>95863</v>
      </c>
      <c r="B54">
        <v>795</v>
      </c>
      <c r="C54">
        <v>0.16407874883790907</v>
      </c>
      <c r="D54" s="243" t="s">
        <v>908</v>
      </c>
      <c r="E54">
        <v>-99</v>
      </c>
      <c r="F54" t="s">
        <v>909</v>
      </c>
      <c r="G54" t="s">
        <v>604</v>
      </c>
      <c r="H54" t="s">
        <v>878</v>
      </c>
    </row>
    <row r="55" spans="1:8">
      <c r="A55">
        <v>95863</v>
      </c>
      <c r="B55">
        <v>797</v>
      </c>
      <c r="C55">
        <v>1.3356247676597848</v>
      </c>
      <c r="D55" s="243" t="s">
        <v>908</v>
      </c>
      <c r="E55">
        <v>-99</v>
      </c>
      <c r="F55" t="s">
        <v>909</v>
      </c>
      <c r="G55" t="s">
        <v>910</v>
      </c>
      <c r="H55" t="s">
        <v>878</v>
      </c>
    </row>
    <row r="56" spans="1:8">
      <c r="A56">
        <v>95863</v>
      </c>
      <c r="B56">
        <v>2668</v>
      </c>
      <c r="C56">
        <v>8.3031896357430024E-2</v>
      </c>
      <c r="D56" s="243" t="s">
        <v>908</v>
      </c>
      <c r="E56">
        <v>-99</v>
      </c>
      <c r="F56" t="s">
        <v>909</v>
      </c>
      <c r="G56" t="s">
        <v>676</v>
      </c>
      <c r="H56" t="s">
        <v>878</v>
      </c>
    </row>
    <row r="57" spans="1:8">
      <c r="A57">
        <v>95863</v>
      </c>
      <c r="B57">
        <v>2669</v>
      </c>
      <c r="C57">
        <v>47.764092656176757</v>
      </c>
      <c r="D57" s="243" t="s">
        <v>908</v>
      </c>
      <c r="E57">
        <v>-99</v>
      </c>
      <c r="F57" t="s">
        <v>909</v>
      </c>
      <c r="G57" t="s">
        <v>676</v>
      </c>
      <c r="H57" t="s">
        <v>878</v>
      </c>
    </row>
    <row r="58" spans="1:8">
      <c r="A58">
        <v>95863</v>
      </c>
      <c r="B58">
        <v>2670</v>
      </c>
      <c r="C58">
        <v>2.891809476014643E-2</v>
      </c>
      <c r="D58" s="243" t="s">
        <v>908</v>
      </c>
      <c r="E58">
        <v>-99</v>
      </c>
      <c r="F58" t="s">
        <v>909</v>
      </c>
      <c r="G58" t="s">
        <v>676</v>
      </c>
      <c r="H58" t="s">
        <v>878</v>
      </c>
    </row>
    <row r="59" spans="1:8">
      <c r="A59">
        <v>95864</v>
      </c>
      <c r="B59">
        <v>296</v>
      </c>
      <c r="C59">
        <v>7.1878328761266642E-3</v>
      </c>
      <c r="D59" s="243" t="s">
        <v>908</v>
      </c>
      <c r="E59">
        <v>-99</v>
      </c>
      <c r="F59" t="s">
        <v>909</v>
      </c>
      <c r="G59" t="s">
        <v>604</v>
      </c>
      <c r="H59" t="s">
        <v>878</v>
      </c>
    </row>
    <row r="60" spans="1:8">
      <c r="A60">
        <v>95864</v>
      </c>
      <c r="B60">
        <v>300</v>
      </c>
      <c r="C60">
        <v>1.1948639678920243E-3</v>
      </c>
      <c r="D60" s="243" t="s">
        <v>908</v>
      </c>
      <c r="E60">
        <v>-99</v>
      </c>
      <c r="F60" t="s">
        <v>909</v>
      </c>
      <c r="G60" t="s">
        <v>604</v>
      </c>
      <c r="H60" t="s">
        <v>878</v>
      </c>
    </row>
    <row r="61" spans="1:8">
      <c r="A61">
        <v>95864</v>
      </c>
      <c r="B61">
        <v>328</v>
      </c>
      <c r="C61">
        <v>7.2003476448752974E-3</v>
      </c>
      <c r="D61" s="243" t="s">
        <v>908</v>
      </c>
      <c r="E61">
        <v>-99</v>
      </c>
      <c r="F61" t="s">
        <v>909</v>
      </c>
      <c r="G61" t="s">
        <v>604</v>
      </c>
      <c r="H61" t="s">
        <v>878</v>
      </c>
    </row>
    <row r="62" spans="1:8">
      <c r="A62">
        <v>95864</v>
      </c>
      <c r="B62">
        <v>329</v>
      </c>
      <c r="C62">
        <v>5.8262979031319613E-2</v>
      </c>
      <c r="D62" s="243" t="s">
        <v>908</v>
      </c>
      <c r="E62">
        <v>-99</v>
      </c>
      <c r="F62" t="s">
        <v>909</v>
      </c>
      <c r="G62" t="s">
        <v>604</v>
      </c>
      <c r="H62" t="s">
        <v>878</v>
      </c>
    </row>
    <row r="63" spans="1:8">
      <c r="A63">
        <v>95864</v>
      </c>
      <c r="B63">
        <v>347</v>
      </c>
      <c r="C63">
        <v>4.3487400744240859E-2</v>
      </c>
      <c r="D63" s="243" t="s">
        <v>908</v>
      </c>
      <c r="E63">
        <v>-99</v>
      </c>
      <c r="F63" t="s">
        <v>909</v>
      </c>
      <c r="G63" t="s">
        <v>604</v>
      </c>
      <c r="H63" t="s">
        <v>878</v>
      </c>
    </row>
    <row r="64" spans="1:8">
      <c r="A64">
        <v>95864</v>
      </c>
      <c r="B64">
        <v>380</v>
      </c>
      <c r="C64">
        <v>1.0813553884438348E-3</v>
      </c>
      <c r="D64" s="243" t="s">
        <v>908</v>
      </c>
      <c r="E64">
        <v>-99</v>
      </c>
      <c r="F64" t="s">
        <v>909</v>
      </c>
      <c r="G64" t="s">
        <v>604</v>
      </c>
      <c r="H64" t="s">
        <v>878</v>
      </c>
    </row>
    <row r="65" spans="1:8">
      <c r="A65">
        <v>95864</v>
      </c>
      <c r="B65">
        <v>488</v>
      </c>
      <c r="C65">
        <v>2.2891132562139108E-2</v>
      </c>
      <c r="D65" s="243" t="s">
        <v>908</v>
      </c>
      <c r="E65">
        <v>-99</v>
      </c>
      <c r="F65" t="s">
        <v>909</v>
      </c>
      <c r="G65" t="s">
        <v>604</v>
      </c>
      <c r="H65" t="s">
        <v>878</v>
      </c>
    </row>
    <row r="66" spans="1:8">
      <c r="A66">
        <v>95864</v>
      </c>
      <c r="B66">
        <v>519</v>
      </c>
      <c r="C66">
        <v>8.0807098981504062E-4</v>
      </c>
      <c r="D66" s="243" t="s">
        <v>908</v>
      </c>
      <c r="E66">
        <v>-99</v>
      </c>
      <c r="F66" t="s">
        <v>909</v>
      </c>
      <c r="G66" t="s">
        <v>604</v>
      </c>
      <c r="H66" t="s">
        <v>878</v>
      </c>
    </row>
    <row r="67" spans="1:8">
      <c r="A67">
        <v>95864</v>
      </c>
      <c r="B67">
        <v>520</v>
      </c>
      <c r="C67">
        <v>3.0650060010186321E-3</v>
      </c>
      <c r="D67" s="243" t="s">
        <v>908</v>
      </c>
      <c r="E67">
        <v>-99</v>
      </c>
      <c r="F67" t="s">
        <v>909</v>
      </c>
      <c r="G67" t="s">
        <v>604</v>
      </c>
      <c r="H67" t="s">
        <v>878</v>
      </c>
    </row>
    <row r="68" spans="1:8">
      <c r="A68">
        <v>95864</v>
      </c>
      <c r="B68">
        <v>526</v>
      </c>
      <c r="C68">
        <v>1.0636993151920831E-3</v>
      </c>
      <c r="D68" s="243" t="s">
        <v>908</v>
      </c>
      <c r="E68">
        <v>-99</v>
      </c>
      <c r="F68" t="s">
        <v>909</v>
      </c>
      <c r="G68" t="s">
        <v>604</v>
      </c>
      <c r="H68" t="s">
        <v>878</v>
      </c>
    </row>
    <row r="69" spans="1:8">
      <c r="A69">
        <v>95864</v>
      </c>
      <c r="B69">
        <v>626</v>
      </c>
      <c r="C69">
        <v>46.36346331916338</v>
      </c>
      <c r="D69" s="243" t="s">
        <v>908</v>
      </c>
      <c r="E69">
        <v>-99</v>
      </c>
      <c r="F69" t="s">
        <v>909</v>
      </c>
      <c r="G69" t="s">
        <v>910</v>
      </c>
      <c r="H69" t="s">
        <v>878</v>
      </c>
    </row>
    <row r="70" spans="1:8">
      <c r="A70">
        <v>95864</v>
      </c>
      <c r="B70">
        <v>669</v>
      </c>
      <c r="C70">
        <v>1.3580062455344255</v>
      </c>
      <c r="D70" s="243" t="s">
        <v>908</v>
      </c>
      <c r="E70">
        <v>-99</v>
      </c>
      <c r="F70" t="s">
        <v>909</v>
      </c>
      <c r="G70" t="s">
        <v>604</v>
      </c>
      <c r="H70" t="s">
        <v>878</v>
      </c>
    </row>
    <row r="71" spans="1:8">
      <c r="A71">
        <v>95864</v>
      </c>
      <c r="B71">
        <v>689</v>
      </c>
      <c r="C71">
        <v>5.5425118032029919E-3</v>
      </c>
      <c r="D71" s="243" t="s">
        <v>908</v>
      </c>
      <c r="E71">
        <v>-99</v>
      </c>
      <c r="F71" t="s">
        <v>909</v>
      </c>
      <c r="G71" t="s">
        <v>604</v>
      </c>
      <c r="H71" t="s">
        <v>878</v>
      </c>
    </row>
    <row r="72" spans="1:8">
      <c r="A72">
        <v>95864</v>
      </c>
      <c r="B72">
        <v>693</v>
      </c>
      <c r="C72">
        <v>7.3150511571200597E-4</v>
      </c>
      <c r="D72" s="243" t="s">
        <v>908</v>
      </c>
      <c r="E72">
        <v>-99</v>
      </c>
      <c r="F72" t="s">
        <v>909</v>
      </c>
      <c r="G72" t="s">
        <v>604</v>
      </c>
      <c r="H72" t="s">
        <v>878</v>
      </c>
    </row>
    <row r="73" spans="1:8">
      <c r="A73">
        <v>95864</v>
      </c>
      <c r="B73">
        <v>694</v>
      </c>
      <c r="C73">
        <v>1.425405305462391E-2</v>
      </c>
      <c r="D73" s="243" t="s">
        <v>908</v>
      </c>
      <c r="E73">
        <v>-99</v>
      </c>
      <c r="F73" t="s">
        <v>909</v>
      </c>
      <c r="G73" t="s">
        <v>604</v>
      </c>
      <c r="H73" t="s">
        <v>878</v>
      </c>
    </row>
    <row r="74" spans="1:8">
      <c r="A74">
        <v>95864</v>
      </c>
      <c r="B74">
        <v>696</v>
      </c>
      <c r="C74">
        <v>5.5332316841586168E-2</v>
      </c>
      <c r="D74" s="243" t="s">
        <v>908</v>
      </c>
      <c r="E74">
        <v>-99</v>
      </c>
      <c r="F74" t="s">
        <v>909</v>
      </c>
      <c r="G74" t="s">
        <v>604</v>
      </c>
      <c r="H74" t="s">
        <v>878</v>
      </c>
    </row>
    <row r="75" spans="1:8">
      <c r="A75">
        <v>95864</v>
      </c>
      <c r="B75">
        <v>699</v>
      </c>
      <c r="C75">
        <v>1.9421743211867126</v>
      </c>
      <c r="D75" s="243" t="s">
        <v>908</v>
      </c>
      <c r="E75">
        <v>-99</v>
      </c>
      <c r="F75" t="s">
        <v>909</v>
      </c>
      <c r="G75" t="s">
        <v>676</v>
      </c>
      <c r="H75" t="s">
        <v>878</v>
      </c>
    </row>
    <row r="76" spans="1:8">
      <c r="A76">
        <v>95864</v>
      </c>
      <c r="B76">
        <v>714</v>
      </c>
      <c r="C76">
        <v>1.5107170867965333E-2</v>
      </c>
      <c r="D76" s="243" t="s">
        <v>908</v>
      </c>
      <c r="E76">
        <v>-99</v>
      </c>
      <c r="F76" t="s">
        <v>909</v>
      </c>
      <c r="G76" t="s">
        <v>604</v>
      </c>
      <c r="H76" t="s">
        <v>878</v>
      </c>
    </row>
    <row r="77" spans="1:8">
      <c r="A77">
        <v>95864</v>
      </c>
      <c r="B77">
        <v>778</v>
      </c>
      <c r="C77">
        <v>0.30278786356317433</v>
      </c>
      <c r="D77" s="243" t="s">
        <v>908</v>
      </c>
      <c r="E77">
        <v>-99</v>
      </c>
      <c r="F77" t="s">
        <v>909</v>
      </c>
      <c r="G77" t="s">
        <v>604</v>
      </c>
      <c r="H77" t="s">
        <v>878</v>
      </c>
    </row>
    <row r="78" spans="1:8">
      <c r="A78">
        <v>95864</v>
      </c>
      <c r="B78">
        <v>795</v>
      </c>
      <c r="C78">
        <v>0.67355523533858408</v>
      </c>
      <c r="D78" s="243" t="s">
        <v>908</v>
      </c>
      <c r="E78">
        <v>-99</v>
      </c>
      <c r="F78" t="s">
        <v>909</v>
      </c>
      <c r="G78" t="s">
        <v>604</v>
      </c>
      <c r="H78" t="s">
        <v>878</v>
      </c>
    </row>
    <row r="79" spans="1:8">
      <c r="A79">
        <v>95864</v>
      </c>
      <c r="B79">
        <v>797</v>
      </c>
      <c r="C79">
        <v>11.505592787497847</v>
      </c>
      <c r="D79" s="243" t="s">
        <v>908</v>
      </c>
      <c r="E79">
        <v>-99</v>
      </c>
      <c r="F79" t="s">
        <v>909</v>
      </c>
      <c r="G79" t="s">
        <v>910</v>
      </c>
      <c r="H79" t="s">
        <v>878</v>
      </c>
    </row>
    <row r="80" spans="1:8">
      <c r="A80">
        <v>95864</v>
      </c>
      <c r="B80">
        <v>2668</v>
      </c>
      <c r="C80">
        <v>0.46612183708481097</v>
      </c>
      <c r="D80" s="243" t="s">
        <v>908</v>
      </c>
      <c r="E80">
        <v>-99</v>
      </c>
      <c r="F80" t="s">
        <v>909</v>
      </c>
      <c r="G80" t="s">
        <v>676</v>
      </c>
      <c r="H80" t="s">
        <v>878</v>
      </c>
    </row>
    <row r="81" spans="1:8">
      <c r="A81">
        <v>95864</v>
      </c>
      <c r="B81">
        <v>2669</v>
      </c>
      <c r="C81">
        <v>37.00889431011138</v>
      </c>
      <c r="D81" s="243" t="s">
        <v>908</v>
      </c>
      <c r="E81">
        <v>-99</v>
      </c>
      <c r="F81" t="s">
        <v>909</v>
      </c>
      <c r="G81" t="s">
        <v>676</v>
      </c>
      <c r="H81" t="s">
        <v>878</v>
      </c>
    </row>
    <row r="82" spans="1:8">
      <c r="A82">
        <v>95864</v>
      </c>
      <c r="B82">
        <v>2670</v>
      </c>
      <c r="C82">
        <v>0.14219063132073131</v>
      </c>
      <c r="D82" s="243" t="s">
        <v>908</v>
      </c>
      <c r="E82">
        <v>-99</v>
      </c>
      <c r="F82" t="s">
        <v>909</v>
      </c>
      <c r="G82" t="s">
        <v>676</v>
      </c>
      <c r="H82" t="s">
        <v>878</v>
      </c>
    </row>
    <row r="83" spans="1:8">
      <c r="A83">
        <v>95865</v>
      </c>
      <c r="B83">
        <v>296</v>
      </c>
      <c r="C83">
        <v>7.8854332507066879E-4</v>
      </c>
      <c r="D83" s="243" t="s">
        <v>908</v>
      </c>
      <c r="E83">
        <v>-99</v>
      </c>
      <c r="F83" t="s">
        <v>909</v>
      </c>
      <c r="G83" t="s">
        <v>604</v>
      </c>
      <c r="H83" t="s">
        <v>878</v>
      </c>
    </row>
    <row r="84" spans="1:8">
      <c r="A84">
        <v>95865</v>
      </c>
      <c r="B84">
        <v>328</v>
      </c>
      <c r="C84">
        <v>2.0017496042278415E-3</v>
      </c>
      <c r="D84" s="243" t="s">
        <v>908</v>
      </c>
      <c r="E84">
        <v>-99</v>
      </c>
      <c r="F84" t="s">
        <v>909</v>
      </c>
      <c r="G84" t="s">
        <v>604</v>
      </c>
      <c r="H84" t="s">
        <v>878</v>
      </c>
    </row>
    <row r="85" spans="1:8">
      <c r="A85">
        <v>95865</v>
      </c>
      <c r="B85">
        <v>329</v>
      </c>
      <c r="C85">
        <v>5.4535734709044756E-2</v>
      </c>
      <c r="D85" s="243" t="s">
        <v>908</v>
      </c>
      <c r="E85">
        <v>-99</v>
      </c>
      <c r="F85" t="s">
        <v>909</v>
      </c>
      <c r="G85" t="s">
        <v>604</v>
      </c>
      <c r="H85" t="s">
        <v>878</v>
      </c>
    </row>
    <row r="86" spans="1:8">
      <c r="A86">
        <v>95865</v>
      </c>
      <c r="B86">
        <v>347</v>
      </c>
      <c r="C86">
        <v>2.3989410883013583E-3</v>
      </c>
      <c r="D86" s="243" t="s">
        <v>908</v>
      </c>
      <c r="E86">
        <v>-99</v>
      </c>
      <c r="F86" t="s">
        <v>909</v>
      </c>
      <c r="G86" t="s">
        <v>604</v>
      </c>
      <c r="H86" t="s">
        <v>878</v>
      </c>
    </row>
    <row r="87" spans="1:8">
      <c r="A87">
        <v>95865</v>
      </c>
      <c r="B87">
        <v>487</v>
      </c>
      <c r="C87">
        <v>3.8624666409434981E-3</v>
      </c>
      <c r="D87" s="243" t="s">
        <v>908</v>
      </c>
      <c r="E87">
        <v>-99</v>
      </c>
      <c r="F87" t="s">
        <v>909</v>
      </c>
      <c r="G87" t="s">
        <v>604</v>
      </c>
      <c r="H87" t="s">
        <v>878</v>
      </c>
    </row>
    <row r="88" spans="1:8">
      <c r="A88">
        <v>95865</v>
      </c>
      <c r="B88">
        <v>488</v>
      </c>
      <c r="C88">
        <v>4.6493116052765153E-5</v>
      </c>
      <c r="D88" s="243" t="s">
        <v>908</v>
      </c>
      <c r="E88">
        <v>-99</v>
      </c>
      <c r="F88" t="s">
        <v>909</v>
      </c>
      <c r="G88" t="s">
        <v>604</v>
      </c>
      <c r="H88" t="s">
        <v>878</v>
      </c>
    </row>
    <row r="89" spans="1:8">
      <c r="A89">
        <v>95865</v>
      </c>
      <c r="B89">
        <v>520</v>
      </c>
      <c r="C89">
        <v>6.1511131652264544E-5</v>
      </c>
      <c r="D89" s="243" t="s">
        <v>908</v>
      </c>
      <c r="E89">
        <v>-99</v>
      </c>
      <c r="F89" t="s">
        <v>909</v>
      </c>
      <c r="G89" t="s">
        <v>604</v>
      </c>
      <c r="H89" t="s">
        <v>878</v>
      </c>
    </row>
    <row r="90" spans="1:8">
      <c r="A90">
        <v>95865</v>
      </c>
      <c r="B90">
        <v>526</v>
      </c>
      <c r="C90">
        <v>1.6675154646956728E-3</v>
      </c>
      <c r="D90" s="243" t="s">
        <v>908</v>
      </c>
      <c r="E90">
        <v>-99</v>
      </c>
      <c r="F90" t="s">
        <v>909</v>
      </c>
      <c r="G90" t="s">
        <v>604</v>
      </c>
      <c r="H90" t="s">
        <v>878</v>
      </c>
    </row>
    <row r="91" spans="1:8">
      <c r="A91">
        <v>95865</v>
      </c>
      <c r="B91">
        <v>612</v>
      </c>
      <c r="C91">
        <v>3.6982798257901802E-5</v>
      </c>
      <c r="D91" s="243" t="s">
        <v>908</v>
      </c>
      <c r="E91">
        <v>-99</v>
      </c>
      <c r="F91" t="s">
        <v>909</v>
      </c>
      <c r="G91" t="s">
        <v>604</v>
      </c>
      <c r="H91" t="s">
        <v>878</v>
      </c>
    </row>
    <row r="92" spans="1:8">
      <c r="A92">
        <v>95865</v>
      </c>
      <c r="B92">
        <v>626</v>
      </c>
      <c r="C92">
        <v>49.132175479464067</v>
      </c>
      <c r="D92" s="243" t="s">
        <v>908</v>
      </c>
      <c r="E92">
        <v>-99</v>
      </c>
      <c r="F92" t="s">
        <v>909</v>
      </c>
      <c r="G92" t="s">
        <v>910</v>
      </c>
      <c r="H92" t="s">
        <v>878</v>
      </c>
    </row>
    <row r="93" spans="1:8">
      <c r="A93">
        <v>95865</v>
      </c>
      <c r="B93">
        <v>649</v>
      </c>
      <c r="C93">
        <v>1.4904357513607115E-3</v>
      </c>
      <c r="D93" s="243" t="s">
        <v>908</v>
      </c>
      <c r="E93">
        <v>-99</v>
      </c>
      <c r="F93" t="s">
        <v>909</v>
      </c>
      <c r="G93" t="s">
        <v>604</v>
      </c>
      <c r="H93" t="s">
        <v>878</v>
      </c>
    </row>
    <row r="94" spans="1:8">
      <c r="A94">
        <v>95865</v>
      </c>
      <c r="B94">
        <v>666</v>
      </c>
      <c r="C94">
        <v>2.0365585071823004E-3</v>
      </c>
      <c r="D94" s="243" t="s">
        <v>908</v>
      </c>
      <c r="E94">
        <v>-99</v>
      </c>
      <c r="F94" t="s">
        <v>909</v>
      </c>
      <c r="G94" t="s">
        <v>604</v>
      </c>
      <c r="H94" t="s">
        <v>878</v>
      </c>
    </row>
    <row r="95" spans="1:8">
      <c r="A95">
        <v>95865</v>
      </c>
      <c r="B95">
        <v>669</v>
      </c>
      <c r="C95">
        <v>0.41487122904165369</v>
      </c>
      <c r="D95" s="243" t="s">
        <v>908</v>
      </c>
      <c r="E95">
        <v>-99</v>
      </c>
      <c r="F95" t="s">
        <v>909</v>
      </c>
      <c r="G95" t="s">
        <v>604</v>
      </c>
      <c r="H95" t="s">
        <v>878</v>
      </c>
    </row>
    <row r="96" spans="1:8">
      <c r="A96">
        <v>95865</v>
      </c>
      <c r="B96">
        <v>689</v>
      </c>
      <c r="C96">
        <v>1.7464748131377904E-3</v>
      </c>
      <c r="D96" s="243" t="s">
        <v>908</v>
      </c>
      <c r="E96">
        <v>-99</v>
      </c>
      <c r="F96" t="s">
        <v>909</v>
      </c>
      <c r="G96" t="s">
        <v>604</v>
      </c>
      <c r="H96" t="s">
        <v>878</v>
      </c>
    </row>
    <row r="97" spans="1:8">
      <c r="A97">
        <v>95865</v>
      </c>
      <c r="B97">
        <v>693</v>
      </c>
      <c r="C97">
        <v>4.8877989707603401E-5</v>
      </c>
      <c r="D97" s="243" t="s">
        <v>908</v>
      </c>
      <c r="E97">
        <v>-99</v>
      </c>
      <c r="F97" t="s">
        <v>909</v>
      </c>
      <c r="G97" t="s">
        <v>604</v>
      </c>
      <c r="H97" t="s">
        <v>878</v>
      </c>
    </row>
    <row r="98" spans="1:8">
      <c r="A98">
        <v>95865</v>
      </c>
      <c r="B98">
        <v>694</v>
      </c>
      <c r="C98">
        <v>1.7854590542600646E-3</v>
      </c>
      <c r="D98" s="243" t="s">
        <v>908</v>
      </c>
      <c r="E98">
        <v>-99</v>
      </c>
      <c r="F98" t="s">
        <v>909</v>
      </c>
      <c r="G98" t="s">
        <v>604</v>
      </c>
      <c r="H98" t="s">
        <v>878</v>
      </c>
    </row>
    <row r="99" spans="1:8">
      <c r="A99">
        <v>95865</v>
      </c>
      <c r="B99">
        <v>695</v>
      </c>
      <c r="C99">
        <v>4.3265208986178284E-4</v>
      </c>
      <c r="D99" s="243" t="s">
        <v>908</v>
      </c>
      <c r="E99">
        <v>-99</v>
      </c>
      <c r="F99" t="s">
        <v>909</v>
      </c>
      <c r="G99" t="s">
        <v>604</v>
      </c>
      <c r="H99" t="s">
        <v>878</v>
      </c>
    </row>
    <row r="100" spans="1:8">
      <c r="A100">
        <v>95865</v>
      </c>
      <c r="B100">
        <v>697</v>
      </c>
      <c r="C100">
        <v>8.6624746561223163E-5</v>
      </c>
      <c r="D100" s="243" t="s">
        <v>908</v>
      </c>
      <c r="E100">
        <v>-99</v>
      </c>
      <c r="F100" t="s">
        <v>909</v>
      </c>
      <c r="G100" t="s">
        <v>604</v>
      </c>
      <c r="H100" t="s">
        <v>878</v>
      </c>
    </row>
    <row r="101" spans="1:8">
      <c r="A101">
        <v>95865</v>
      </c>
      <c r="B101">
        <v>699</v>
      </c>
      <c r="C101">
        <v>0.37878425408091193</v>
      </c>
      <c r="D101" s="243" t="s">
        <v>908</v>
      </c>
      <c r="E101">
        <v>-99</v>
      </c>
      <c r="F101" t="s">
        <v>909</v>
      </c>
      <c r="G101" t="s">
        <v>676</v>
      </c>
      <c r="H101" t="s">
        <v>878</v>
      </c>
    </row>
    <row r="102" spans="1:8">
      <c r="A102">
        <v>95865</v>
      </c>
      <c r="B102">
        <v>715</v>
      </c>
      <c r="C102">
        <v>1.2386873567394471E-4</v>
      </c>
      <c r="D102" s="243" t="s">
        <v>908</v>
      </c>
      <c r="E102">
        <v>-99</v>
      </c>
      <c r="F102" t="s">
        <v>909</v>
      </c>
      <c r="G102" t="s">
        <v>604</v>
      </c>
      <c r="H102" t="s">
        <v>878</v>
      </c>
    </row>
    <row r="103" spans="1:8">
      <c r="A103">
        <v>95865</v>
      </c>
      <c r="B103">
        <v>767</v>
      </c>
      <c r="C103">
        <v>1.1863041173629532E-4</v>
      </c>
      <c r="D103" s="243" t="s">
        <v>908</v>
      </c>
      <c r="E103">
        <v>-99</v>
      </c>
      <c r="F103" t="s">
        <v>909</v>
      </c>
      <c r="G103" t="s">
        <v>604</v>
      </c>
      <c r="H103" t="s">
        <v>878</v>
      </c>
    </row>
    <row r="104" spans="1:8">
      <c r="A104">
        <v>95865</v>
      </c>
      <c r="B104">
        <v>778</v>
      </c>
      <c r="C104">
        <v>5.1942818303785297E-2</v>
      </c>
      <c r="D104" s="243" t="s">
        <v>908</v>
      </c>
      <c r="E104">
        <v>-99</v>
      </c>
      <c r="F104" t="s">
        <v>909</v>
      </c>
      <c r="G104" t="s">
        <v>604</v>
      </c>
      <c r="H104" t="s">
        <v>878</v>
      </c>
    </row>
    <row r="105" spans="1:8">
      <c r="A105">
        <v>95865</v>
      </c>
      <c r="B105">
        <v>779</v>
      </c>
      <c r="C105">
        <v>4.7452164694518128E-4</v>
      </c>
      <c r="D105" s="243" t="s">
        <v>908</v>
      </c>
      <c r="E105">
        <v>-99</v>
      </c>
      <c r="F105" t="s">
        <v>909</v>
      </c>
      <c r="G105" t="s">
        <v>604</v>
      </c>
      <c r="H105" t="s">
        <v>878</v>
      </c>
    </row>
    <row r="106" spans="1:8">
      <c r="A106">
        <v>95865</v>
      </c>
      <c r="B106">
        <v>795</v>
      </c>
      <c r="C106">
        <v>0.11547887186456518</v>
      </c>
      <c r="D106" s="243" t="s">
        <v>908</v>
      </c>
      <c r="E106">
        <v>-99</v>
      </c>
      <c r="F106" t="s">
        <v>909</v>
      </c>
      <c r="G106" t="s">
        <v>604</v>
      </c>
      <c r="H106" t="s">
        <v>878</v>
      </c>
    </row>
    <row r="107" spans="1:8">
      <c r="A107">
        <v>95865</v>
      </c>
      <c r="B107">
        <v>797</v>
      </c>
      <c r="C107">
        <v>1.6618518992489986</v>
      </c>
      <c r="D107" s="243" t="s">
        <v>908</v>
      </c>
      <c r="E107">
        <v>-99</v>
      </c>
      <c r="F107" t="s">
        <v>909</v>
      </c>
      <c r="G107" t="s">
        <v>910</v>
      </c>
      <c r="H107" t="s">
        <v>878</v>
      </c>
    </row>
    <row r="108" spans="1:8">
      <c r="A108">
        <v>95865</v>
      </c>
      <c r="B108">
        <v>2668</v>
      </c>
      <c r="C108">
        <v>9.0908220979418836E-2</v>
      </c>
      <c r="D108" s="243" t="s">
        <v>908</v>
      </c>
      <c r="E108">
        <v>-99</v>
      </c>
      <c r="F108" t="s">
        <v>909</v>
      </c>
      <c r="G108" t="s">
        <v>676</v>
      </c>
      <c r="H108" t="s">
        <v>878</v>
      </c>
    </row>
    <row r="109" spans="1:8">
      <c r="A109">
        <v>95865</v>
      </c>
      <c r="B109">
        <v>2669</v>
      </c>
      <c r="C109">
        <v>48.027970496877259</v>
      </c>
      <c r="D109" s="243" t="s">
        <v>908</v>
      </c>
      <c r="E109">
        <v>-99</v>
      </c>
      <c r="F109" t="s">
        <v>909</v>
      </c>
      <c r="G109" t="s">
        <v>676</v>
      </c>
      <c r="H109" t="s">
        <v>878</v>
      </c>
    </row>
    <row r="110" spans="1:8">
      <c r="A110">
        <v>95865</v>
      </c>
      <c r="B110">
        <v>2670</v>
      </c>
      <c r="C110">
        <v>5.2281781431181291E-2</v>
      </c>
      <c r="D110" s="243" t="s">
        <v>908</v>
      </c>
      <c r="E110">
        <v>-99</v>
      </c>
      <c r="F110" t="s">
        <v>909</v>
      </c>
      <c r="G110" t="s">
        <v>676</v>
      </c>
      <c r="H110" t="s">
        <v>878</v>
      </c>
    </row>
    <row r="111" spans="1:8">
      <c r="A111">
        <v>95866</v>
      </c>
      <c r="B111">
        <v>296</v>
      </c>
      <c r="C111">
        <v>2.9381731891695287E-3</v>
      </c>
      <c r="D111" s="243" t="s">
        <v>908</v>
      </c>
      <c r="E111">
        <v>-99</v>
      </c>
      <c r="F111" t="s">
        <v>909</v>
      </c>
      <c r="G111" t="s">
        <v>604</v>
      </c>
      <c r="H111" t="s">
        <v>878</v>
      </c>
    </row>
    <row r="112" spans="1:8">
      <c r="A112">
        <v>95866</v>
      </c>
      <c r="B112">
        <v>298</v>
      </c>
      <c r="C112">
        <v>9.9211504382612698E-5</v>
      </c>
      <c r="D112" s="243" t="s">
        <v>908</v>
      </c>
      <c r="E112">
        <v>-99</v>
      </c>
      <c r="F112" t="s">
        <v>909</v>
      </c>
      <c r="G112" t="s">
        <v>604</v>
      </c>
      <c r="H112" t="s">
        <v>878</v>
      </c>
    </row>
    <row r="113" spans="1:8">
      <c r="A113">
        <v>95866</v>
      </c>
      <c r="B113">
        <v>328</v>
      </c>
      <c r="C113">
        <v>8.600568330036612E-3</v>
      </c>
      <c r="D113" s="243" t="s">
        <v>908</v>
      </c>
      <c r="E113">
        <v>-99</v>
      </c>
      <c r="F113" t="s">
        <v>909</v>
      </c>
      <c r="G113" t="s">
        <v>604</v>
      </c>
      <c r="H113" t="s">
        <v>878</v>
      </c>
    </row>
    <row r="114" spans="1:8">
      <c r="A114">
        <v>95866</v>
      </c>
      <c r="B114">
        <v>329</v>
      </c>
      <c r="C114">
        <v>7.2643112897947573E-2</v>
      </c>
      <c r="D114" s="243" t="s">
        <v>908</v>
      </c>
      <c r="E114">
        <v>-99</v>
      </c>
      <c r="F114" t="s">
        <v>909</v>
      </c>
      <c r="G114" t="s">
        <v>604</v>
      </c>
      <c r="H114" t="s">
        <v>878</v>
      </c>
    </row>
    <row r="115" spans="1:8">
      <c r="A115">
        <v>95866</v>
      </c>
      <c r="B115">
        <v>347</v>
      </c>
      <c r="C115">
        <v>1.315969525709451E-2</v>
      </c>
      <c r="D115" s="243" t="s">
        <v>908</v>
      </c>
      <c r="E115">
        <v>-99</v>
      </c>
      <c r="F115" t="s">
        <v>909</v>
      </c>
      <c r="G115" t="s">
        <v>604</v>
      </c>
      <c r="H115" t="s">
        <v>878</v>
      </c>
    </row>
    <row r="116" spans="1:8">
      <c r="A116">
        <v>95866</v>
      </c>
      <c r="B116">
        <v>379</v>
      </c>
      <c r="C116">
        <v>2.2807664442884898E-4</v>
      </c>
      <c r="D116" s="243" t="s">
        <v>908</v>
      </c>
      <c r="E116">
        <v>-99</v>
      </c>
      <c r="F116" t="s">
        <v>909</v>
      </c>
      <c r="G116" t="s">
        <v>604</v>
      </c>
      <c r="H116" t="s">
        <v>878</v>
      </c>
    </row>
    <row r="117" spans="1:8">
      <c r="A117">
        <v>95866</v>
      </c>
      <c r="B117">
        <v>380</v>
      </c>
      <c r="C117">
        <v>9.1685486835823865E-5</v>
      </c>
      <c r="D117" s="243" t="s">
        <v>908</v>
      </c>
      <c r="E117">
        <v>-99</v>
      </c>
      <c r="F117" t="s">
        <v>909</v>
      </c>
      <c r="G117" t="s">
        <v>604</v>
      </c>
      <c r="H117" t="s">
        <v>878</v>
      </c>
    </row>
    <row r="118" spans="1:8">
      <c r="A118">
        <v>95866</v>
      </c>
      <c r="B118">
        <v>468</v>
      </c>
      <c r="C118">
        <v>8.0775129528775901E-5</v>
      </c>
      <c r="D118" s="243" t="s">
        <v>908</v>
      </c>
      <c r="E118">
        <v>-99</v>
      </c>
      <c r="F118" t="s">
        <v>909</v>
      </c>
      <c r="G118" t="s">
        <v>604</v>
      </c>
      <c r="H118" t="s">
        <v>878</v>
      </c>
    </row>
    <row r="119" spans="1:8">
      <c r="A119">
        <v>95866</v>
      </c>
      <c r="B119">
        <v>487</v>
      </c>
      <c r="C119">
        <v>1.320098565281624E-2</v>
      </c>
      <c r="D119" s="243" t="s">
        <v>908</v>
      </c>
      <c r="E119">
        <v>-99</v>
      </c>
      <c r="F119" t="s">
        <v>909</v>
      </c>
      <c r="G119" t="s">
        <v>604</v>
      </c>
      <c r="H119" t="s">
        <v>878</v>
      </c>
    </row>
    <row r="120" spans="1:8">
      <c r="A120">
        <v>95866</v>
      </c>
      <c r="B120">
        <v>488</v>
      </c>
      <c r="C120">
        <v>3.7470472591657436E-2</v>
      </c>
      <c r="D120" s="243" t="s">
        <v>908</v>
      </c>
      <c r="E120">
        <v>-99</v>
      </c>
      <c r="F120" t="s">
        <v>909</v>
      </c>
      <c r="G120" t="s">
        <v>604</v>
      </c>
      <c r="H120" t="s">
        <v>878</v>
      </c>
    </row>
    <row r="121" spans="1:8">
      <c r="A121">
        <v>95866</v>
      </c>
      <c r="B121">
        <v>519</v>
      </c>
      <c r="C121">
        <v>1.1405273692336708E-4</v>
      </c>
      <c r="D121" s="243" t="s">
        <v>908</v>
      </c>
      <c r="E121">
        <v>-99</v>
      </c>
      <c r="F121" t="s">
        <v>909</v>
      </c>
      <c r="G121" t="s">
        <v>604</v>
      </c>
      <c r="H121" t="s">
        <v>878</v>
      </c>
    </row>
    <row r="122" spans="1:8">
      <c r="A122">
        <v>95866</v>
      </c>
      <c r="B122">
        <v>520</v>
      </c>
      <c r="C122">
        <v>1.2106771137104279E-3</v>
      </c>
      <c r="D122" s="243" t="s">
        <v>908</v>
      </c>
      <c r="E122">
        <v>-99</v>
      </c>
      <c r="F122" t="s">
        <v>909</v>
      </c>
      <c r="G122" t="s">
        <v>604</v>
      </c>
      <c r="H122" t="s">
        <v>878</v>
      </c>
    </row>
    <row r="123" spans="1:8">
      <c r="A123">
        <v>95866</v>
      </c>
      <c r="B123">
        <v>525</v>
      </c>
      <c r="C123">
        <v>3.1286783636461572E-3</v>
      </c>
      <c r="D123" s="243" t="s">
        <v>908</v>
      </c>
      <c r="E123">
        <v>-99</v>
      </c>
      <c r="F123" t="s">
        <v>909</v>
      </c>
      <c r="G123" t="s">
        <v>604</v>
      </c>
      <c r="H123" t="s">
        <v>878</v>
      </c>
    </row>
    <row r="124" spans="1:8">
      <c r="A124">
        <v>95866</v>
      </c>
      <c r="B124">
        <v>526</v>
      </c>
      <c r="C124">
        <v>1.8797698399150872E-3</v>
      </c>
      <c r="D124" s="243" t="s">
        <v>908</v>
      </c>
      <c r="E124">
        <v>-99</v>
      </c>
      <c r="F124" t="s">
        <v>909</v>
      </c>
      <c r="G124" t="s">
        <v>604</v>
      </c>
      <c r="H124" t="s">
        <v>878</v>
      </c>
    </row>
    <row r="125" spans="1:8">
      <c r="A125">
        <v>95866</v>
      </c>
      <c r="B125">
        <v>528</v>
      </c>
      <c r="C125">
        <v>1.0486571208600823E-3</v>
      </c>
      <c r="D125" s="243" t="s">
        <v>908</v>
      </c>
      <c r="E125">
        <v>-99</v>
      </c>
      <c r="F125" t="s">
        <v>909</v>
      </c>
      <c r="G125" t="s">
        <v>604</v>
      </c>
      <c r="H125" t="s">
        <v>878</v>
      </c>
    </row>
    <row r="126" spans="1:8">
      <c r="A126">
        <v>95866</v>
      </c>
      <c r="B126">
        <v>586</v>
      </c>
      <c r="C126">
        <v>1.5810309287081183E-4</v>
      </c>
      <c r="D126" s="243" t="s">
        <v>908</v>
      </c>
      <c r="E126">
        <v>-99</v>
      </c>
      <c r="F126" t="s">
        <v>909</v>
      </c>
      <c r="G126" t="s">
        <v>604</v>
      </c>
      <c r="H126" t="s">
        <v>878</v>
      </c>
    </row>
    <row r="127" spans="1:8">
      <c r="A127">
        <v>95866</v>
      </c>
      <c r="B127">
        <v>612</v>
      </c>
      <c r="C127">
        <v>2.2891564190529626E-3</v>
      </c>
      <c r="D127" s="243" t="s">
        <v>908</v>
      </c>
      <c r="E127">
        <v>-99</v>
      </c>
      <c r="F127" t="s">
        <v>909</v>
      </c>
      <c r="G127" t="s">
        <v>604</v>
      </c>
      <c r="H127" t="s">
        <v>878</v>
      </c>
    </row>
    <row r="128" spans="1:8">
      <c r="A128">
        <v>95866</v>
      </c>
      <c r="B128">
        <v>626</v>
      </c>
      <c r="C128">
        <v>53.112292047974229</v>
      </c>
      <c r="D128" s="243" t="s">
        <v>908</v>
      </c>
      <c r="E128">
        <v>-99</v>
      </c>
      <c r="F128" t="s">
        <v>909</v>
      </c>
      <c r="G128" t="s">
        <v>910</v>
      </c>
      <c r="H128" t="s">
        <v>878</v>
      </c>
    </row>
    <row r="129" spans="1:8">
      <c r="A129">
        <v>95866</v>
      </c>
      <c r="B129">
        <v>649</v>
      </c>
      <c r="C129">
        <v>2.1307454100091446E-3</v>
      </c>
      <c r="D129" s="243" t="s">
        <v>908</v>
      </c>
      <c r="E129">
        <v>-99</v>
      </c>
      <c r="F129" t="s">
        <v>909</v>
      </c>
      <c r="G129" t="s">
        <v>604</v>
      </c>
      <c r="H129" t="s">
        <v>878</v>
      </c>
    </row>
    <row r="130" spans="1:8">
      <c r="A130">
        <v>95866</v>
      </c>
      <c r="B130">
        <v>666</v>
      </c>
      <c r="C130">
        <v>2.416053928495086E-3</v>
      </c>
      <c r="D130" s="243" t="s">
        <v>908</v>
      </c>
      <c r="E130">
        <v>-99</v>
      </c>
      <c r="F130" t="s">
        <v>909</v>
      </c>
      <c r="G130" t="s">
        <v>604</v>
      </c>
      <c r="H130" t="s">
        <v>878</v>
      </c>
    </row>
    <row r="131" spans="1:8">
      <c r="A131">
        <v>95866</v>
      </c>
      <c r="B131">
        <v>669</v>
      </c>
      <c r="C131">
        <v>0.32675720178717732</v>
      </c>
      <c r="D131" s="243" t="s">
        <v>908</v>
      </c>
      <c r="E131">
        <v>-99</v>
      </c>
      <c r="F131" t="s">
        <v>909</v>
      </c>
      <c r="G131" t="s">
        <v>604</v>
      </c>
      <c r="H131" t="s">
        <v>878</v>
      </c>
    </row>
    <row r="132" spans="1:8">
      <c r="A132">
        <v>95866</v>
      </c>
      <c r="B132">
        <v>689</v>
      </c>
      <c r="C132">
        <v>1.7554928474323823E-4</v>
      </c>
      <c r="D132" s="243" t="s">
        <v>908</v>
      </c>
      <c r="E132">
        <v>-99</v>
      </c>
      <c r="F132" t="s">
        <v>909</v>
      </c>
      <c r="G132" t="s">
        <v>604</v>
      </c>
      <c r="H132" t="s">
        <v>878</v>
      </c>
    </row>
    <row r="133" spans="1:8">
      <c r="A133">
        <v>95866</v>
      </c>
      <c r="B133">
        <v>693</v>
      </c>
      <c r="C133">
        <v>2.6527447472311549E-4</v>
      </c>
      <c r="D133" s="243" t="s">
        <v>908</v>
      </c>
      <c r="E133">
        <v>-99</v>
      </c>
      <c r="F133" t="s">
        <v>909</v>
      </c>
      <c r="G133" t="s">
        <v>604</v>
      </c>
      <c r="H133" t="s">
        <v>878</v>
      </c>
    </row>
    <row r="134" spans="1:8">
      <c r="A134">
        <v>95866</v>
      </c>
      <c r="B134">
        <v>694</v>
      </c>
      <c r="C134">
        <v>3.8067368595417546E-2</v>
      </c>
      <c r="D134" s="243" t="s">
        <v>908</v>
      </c>
      <c r="E134">
        <v>-99</v>
      </c>
      <c r="F134" t="s">
        <v>909</v>
      </c>
      <c r="G134" t="s">
        <v>604</v>
      </c>
      <c r="H134" t="s">
        <v>878</v>
      </c>
    </row>
    <row r="135" spans="1:8">
      <c r="A135">
        <v>95866</v>
      </c>
      <c r="B135">
        <v>695</v>
      </c>
      <c r="C135">
        <v>7.0921716127694356E-4</v>
      </c>
      <c r="D135" s="243" t="s">
        <v>908</v>
      </c>
      <c r="E135">
        <v>-99</v>
      </c>
      <c r="F135" t="s">
        <v>909</v>
      </c>
      <c r="G135" t="s">
        <v>604</v>
      </c>
      <c r="H135" t="s">
        <v>878</v>
      </c>
    </row>
    <row r="136" spans="1:8">
      <c r="A136">
        <v>95866</v>
      </c>
      <c r="B136">
        <v>696</v>
      </c>
      <c r="C136">
        <v>4.6499562749524548E-2</v>
      </c>
      <c r="D136" s="243" t="s">
        <v>908</v>
      </c>
      <c r="E136">
        <v>-99</v>
      </c>
      <c r="F136" t="s">
        <v>909</v>
      </c>
      <c r="G136" t="s">
        <v>604</v>
      </c>
      <c r="H136" t="s">
        <v>878</v>
      </c>
    </row>
    <row r="137" spans="1:8">
      <c r="A137">
        <v>95866</v>
      </c>
      <c r="B137">
        <v>699</v>
      </c>
      <c r="C137">
        <v>0.4435862900099013</v>
      </c>
      <c r="D137" s="243" t="s">
        <v>908</v>
      </c>
      <c r="E137">
        <v>-99</v>
      </c>
      <c r="F137" t="s">
        <v>909</v>
      </c>
      <c r="G137" t="s">
        <v>676</v>
      </c>
      <c r="H137" t="s">
        <v>878</v>
      </c>
    </row>
    <row r="138" spans="1:8">
      <c r="A138">
        <v>95866</v>
      </c>
      <c r="B138">
        <v>714</v>
      </c>
      <c r="C138">
        <v>1.5486658872113453E-2</v>
      </c>
      <c r="D138" s="243" t="s">
        <v>908</v>
      </c>
      <c r="E138">
        <v>-99</v>
      </c>
      <c r="F138" t="s">
        <v>909</v>
      </c>
      <c r="G138" t="s">
        <v>604</v>
      </c>
      <c r="H138" t="s">
        <v>878</v>
      </c>
    </row>
    <row r="139" spans="1:8">
      <c r="A139">
        <v>95866</v>
      </c>
      <c r="B139">
        <v>715</v>
      </c>
      <c r="C139">
        <v>1.2168682596171362E-3</v>
      </c>
      <c r="D139" s="243" t="s">
        <v>908</v>
      </c>
      <c r="E139">
        <v>-99</v>
      </c>
      <c r="F139" t="s">
        <v>909</v>
      </c>
      <c r="G139" t="s">
        <v>604</v>
      </c>
      <c r="H139" t="s">
        <v>878</v>
      </c>
    </row>
    <row r="140" spans="1:8">
      <c r="A140">
        <v>95866</v>
      </c>
      <c r="B140">
        <v>778</v>
      </c>
      <c r="C140">
        <v>6.0509185723633369E-2</v>
      </c>
      <c r="D140" s="243" t="s">
        <v>908</v>
      </c>
      <c r="E140">
        <v>-99</v>
      </c>
      <c r="F140" t="s">
        <v>909</v>
      </c>
      <c r="G140" t="s">
        <v>604</v>
      </c>
      <c r="H140" t="s">
        <v>878</v>
      </c>
    </row>
    <row r="141" spans="1:8">
      <c r="A141">
        <v>95866</v>
      </c>
      <c r="B141">
        <v>779</v>
      </c>
      <c r="C141">
        <v>1.0831446690514664E-3</v>
      </c>
      <c r="D141" s="243" t="s">
        <v>908</v>
      </c>
      <c r="E141">
        <v>-99</v>
      </c>
      <c r="F141" t="s">
        <v>909</v>
      </c>
      <c r="G141" t="s">
        <v>604</v>
      </c>
      <c r="H141" t="s">
        <v>878</v>
      </c>
    </row>
    <row r="142" spans="1:8">
      <c r="A142">
        <v>95866</v>
      </c>
      <c r="B142">
        <v>795</v>
      </c>
      <c r="C142">
        <v>0.22249613065712615</v>
      </c>
      <c r="D142" s="243" t="s">
        <v>908</v>
      </c>
      <c r="E142">
        <v>-99</v>
      </c>
      <c r="F142" t="s">
        <v>909</v>
      </c>
      <c r="G142" t="s">
        <v>604</v>
      </c>
      <c r="H142" t="s">
        <v>878</v>
      </c>
    </row>
    <row r="143" spans="1:8">
      <c r="A143">
        <v>95866</v>
      </c>
      <c r="B143">
        <v>797</v>
      </c>
      <c r="C143">
        <v>7.3088251887201183</v>
      </c>
      <c r="D143" s="243" t="s">
        <v>908</v>
      </c>
      <c r="E143">
        <v>-99</v>
      </c>
      <c r="F143" t="s">
        <v>909</v>
      </c>
      <c r="G143" t="s">
        <v>910</v>
      </c>
      <c r="H143" t="s">
        <v>878</v>
      </c>
    </row>
    <row r="144" spans="1:8">
      <c r="A144">
        <v>95866</v>
      </c>
      <c r="B144">
        <v>2668</v>
      </c>
      <c r="C144">
        <v>0.10646070960237633</v>
      </c>
      <c r="D144" s="243" t="s">
        <v>908</v>
      </c>
      <c r="E144">
        <v>-99</v>
      </c>
      <c r="F144" t="s">
        <v>909</v>
      </c>
      <c r="G144" t="s">
        <v>676</v>
      </c>
      <c r="H144" t="s">
        <v>878</v>
      </c>
    </row>
    <row r="145" spans="1:8">
      <c r="A145">
        <v>95866</v>
      </c>
      <c r="B145">
        <v>2669</v>
      </c>
      <c r="C145">
        <v>38.097836671395548</v>
      </c>
      <c r="D145" s="243" t="s">
        <v>908</v>
      </c>
      <c r="E145">
        <v>-99</v>
      </c>
      <c r="F145" t="s">
        <v>909</v>
      </c>
      <c r="G145" t="s">
        <v>676</v>
      </c>
      <c r="H145" t="s">
        <v>878</v>
      </c>
    </row>
    <row r="146" spans="1:8">
      <c r="A146">
        <v>95866</v>
      </c>
      <c r="B146">
        <v>2670</v>
      </c>
      <c r="C146">
        <v>5.4807832776987905E-2</v>
      </c>
      <c r="D146" s="243" t="s">
        <v>908</v>
      </c>
      <c r="E146">
        <v>-99</v>
      </c>
      <c r="F146" t="s">
        <v>909</v>
      </c>
      <c r="G146" t="s">
        <v>676</v>
      </c>
      <c r="H146" t="s">
        <v>878</v>
      </c>
    </row>
    <row r="147" spans="1:8">
      <c r="A147">
        <v>95867</v>
      </c>
      <c r="B147">
        <v>298</v>
      </c>
      <c r="C147">
        <v>1.2727613254941226E-4</v>
      </c>
      <c r="D147" s="243" t="s">
        <v>908</v>
      </c>
      <c r="E147">
        <v>-99</v>
      </c>
      <c r="F147" t="s">
        <v>909</v>
      </c>
      <c r="G147" t="s">
        <v>604</v>
      </c>
      <c r="H147" t="s">
        <v>878</v>
      </c>
    </row>
    <row r="148" spans="1:8">
      <c r="A148">
        <v>95867</v>
      </c>
      <c r="B148">
        <v>300</v>
      </c>
      <c r="C148">
        <v>3.3393720809414833E-3</v>
      </c>
      <c r="D148" s="243" t="s">
        <v>908</v>
      </c>
      <c r="E148">
        <v>-99</v>
      </c>
      <c r="F148" t="s">
        <v>909</v>
      </c>
      <c r="G148" t="s">
        <v>604</v>
      </c>
      <c r="H148" t="s">
        <v>878</v>
      </c>
    </row>
    <row r="149" spans="1:8">
      <c r="A149">
        <v>95867</v>
      </c>
      <c r="B149">
        <v>328</v>
      </c>
      <c r="C149">
        <v>3.7288160442485508E-3</v>
      </c>
      <c r="D149" s="243" t="s">
        <v>908</v>
      </c>
      <c r="E149">
        <v>-99</v>
      </c>
      <c r="F149" t="s">
        <v>909</v>
      </c>
      <c r="G149" t="s">
        <v>604</v>
      </c>
      <c r="H149" t="s">
        <v>878</v>
      </c>
    </row>
    <row r="150" spans="1:8">
      <c r="A150">
        <v>95867</v>
      </c>
      <c r="B150">
        <v>329</v>
      </c>
      <c r="C150">
        <v>3.3583488564332818E-2</v>
      </c>
      <c r="D150" s="243" t="s">
        <v>908</v>
      </c>
      <c r="E150">
        <v>-99</v>
      </c>
      <c r="F150" t="s">
        <v>909</v>
      </c>
      <c r="G150" t="s">
        <v>604</v>
      </c>
      <c r="H150" t="s">
        <v>878</v>
      </c>
    </row>
    <row r="151" spans="1:8">
      <c r="A151">
        <v>95867</v>
      </c>
      <c r="B151">
        <v>379</v>
      </c>
      <c r="C151">
        <v>2.0531399366932964E-4</v>
      </c>
      <c r="D151" s="243" t="s">
        <v>908</v>
      </c>
      <c r="E151">
        <v>-99</v>
      </c>
      <c r="F151" t="s">
        <v>909</v>
      </c>
      <c r="G151" t="s">
        <v>604</v>
      </c>
      <c r="H151" t="s">
        <v>878</v>
      </c>
    </row>
    <row r="152" spans="1:8">
      <c r="A152">
        <v>95867</v>
      </c>
      <c r="B152">
        <v>380</v>
      </c>
      <c r="C152">
        <v>1.1207363083977031E-4</v>
      </c>
      <c r="D152" s="243" t="s">
        <v>908</v>
      </c>
      <c r="E152">
        <v>-99</v>
      </c>
      <c r="F152" t="s">
        <v>909</v>
      </c>
      <c r="G152" t="s">
        <v>604</v>
      </c>
      <c r="H152" t="s">
        <v>878</v>
      </c>
    </row>
    <row r="153" spans="1:8">
      <c r="A153">
        <v>95867</v>
      </c>
      <c r="B153">
        <v>468</v>
      </c>
      <c r="C153">
        <v>6.3999627734229121E-5</v>
      </c>
      <c r="D153" s="243" t="s">
        <v>908</v>
      </c>
      <c r="E153">
        <v>-99</v>
      </c>
      <c r="F153" t="s">
        <v>909</v>
      </c>
      <c r="G153" t="s">
        <v>604</v>
      </c>
      <c r="H153" t="s">
        <v>878</v>
      </c>
    </row>
    <row r="154" spans="1:8">
      <c r="A154">
        <v>95867</v>
      </c>
      <c r="B154">
        <v>487</v>
      </c>
      <c r="C154">
        <v>2.4454544760225128E-3</v>
      </c>
      <c r="D154" s="243" t="s">
        <v>908</v>
      </c>
      <c r="E154">
        <v>-99</v>
      </c>
      <c r="F154" t="s">
        <v>909</v>
      </c>
      <c r="G154" t="s">
        <v>604</v>
      </c>
      <c r="H154" t="s">
        <v>878</v>
      </c>
    </row>
    <row r="155" spans="1:8">
      <c r="A155">
        <v>95867</v>
      </c>
      <c r="B155">
        <v>488</v>
      </c>
      <c r="C155">
        <v>2.7386373802635749E-3</v>
      </c>
      <c r="D155" s="243" t="s">
        <v>908</v>
      </c>
      <c r="E155">
        <v>-99</v>
      </c>
      <c r="F155" t="s">
        <v>909</v>
      </c>
      <c r="G155" t="s">
        <v>604</v>
      </c>
      <c r="H155" t="s">
        <v>878</v>
      </c>
    </row>
    <row r="156" spans="1:8">
      <c r="A156">
        <v>95867</v>
      </c>
      <c r="B156">
        <v>519</v>
      </c>
      <c r="C156">
        <v>2.1787426654110275E-3</v>
      </c>
      <c r="D156" s="243" t="s">
        <v>908</v>
      </c>
      <c r="E156">
        <v>-99</v>
      </c>
      <c r="F156" t="s">
        <v>909</v>
      </c>
      <c r="G156" t="s">
        <v>604</v>
      </c>
      <c r="H156" t="s">
        <v>878</v>
      </c>
    </row>
    <row r="157" spans="1:8">
      <c r="A157">
        <v>95867</v>
      </c>
      <c r="B157">
        <v>520</v>
      </c>
      <c r="C157">
        <v>1.3516982758538607E-3</v>
      </c>
      <c r="D157" s="243" t="s">
        <v>908</v>
      </c>
      <c r="E157">
        <v>-99</v>
      </c>
      <c r="F157" t="s">
        <v>909</v>
      </c>
      <c r="G157" t="s">
        <v>604</v>
      </c>
      <c r="H157" t="s">
        <v>878</v>
      </c>
    </row>
    <row r="158" spans="1:8">
      <c r="A158">
        <v>95867</v>
      </c>
      <c r="B158">
        <v>525</v>
      </c>
      <c r="C158">
        <v>7.817621210396062E-3</v>
      </c>
      <c r="D158" s="243" t="s">
        <v>908</v>
      </c>
      <c r="E158">
        <v>-99</v>
      </c>
      <c r="F158" t="s">
        <v>909</v>
      </c>
      <c r="G158" t="s">
        <v>604</v>
      </c>
      <c r="H158" t="s">
        <v>878</v>
      </c>
    </row>
    <row r="159" spans="1:8">
      <c r="A159">
        <v>95867</v>
      </c>
      <c r="B159">
        <v>526</v>
      </c>
      <c r="C159">
        <v>9.289073445583071E-4</v>
      </c>
      <c r="D159" s="243" t="s">
        <v>908</v>
      </c>
      <c r="E159">
        <v>-99</v>
      </c>
      <c r="F159" t="s">
        <v>909</v>
      </c>
      <c r="G159" t="s">
        <v>604</v>
      </c>
      <c r="H159" t="s">
        <v>878</v>
      </c>
    </row>
    <row r="160" spans="1:8">
      <c r="A160">
        <v>95867</v>
      </c>
      <c r="B160">
        <v>528</v>
      </c>
      <c r="C160">
        <v>4.8486521962886784E-4</v>
      </c>
      <c r="D160" s="243" t="s">
        <v>908</v>
      </c>
      <c r="E160">
        <v>-99</v>
      </c>
      <c r="F160" t="s">
        <v>909</v>
      </c>
      <c r="G160" t="s">
        <v>604</v>
      </c>
      <c r="H160" t="s">
        <v>878</v>
      </c>
    </row>
    <row r="161" spans="1:8">
      <c r="A161">
        <v>95867</v>
      </c>
      <c r="B161">
        <v>586</v>
      </c>
      <c r="C161">
        <v>2.8248961719287415E-4</v>
      </c>
      <c r="D161" s="243" t="s">
        <v>908</v>
      </c>
      <c r="E161">
        <v>-99</v>
      </c>
      <c r="F161" t="s">
        <v>909</v>
      </c>
      <c r="G161" t="s">
        <v>604</v>
      </c>
      <c r="H161" t="s">
        <v>878</v>
      </c>
    </row>
    <row r="162" spans="1:8">
      <c r="A162">
        <v>95867</v>
      </c>
      <c r="B162">
        <v>612</v>
      </c>
      <c r="C162">
        <v>5.892972628916352E-5</v>
      </c>
      <c r="D162" s="243" t="s">
        <v>908</v>
      </c>
      <c r="E162">
        <v>-99</v>
      </c>
      <c r="F162" t="s">
        <v>909</v>
      </c>
      <c r="G162" t="s">
        <v>604</v>
      </c>
      <c r="H162" t="s">
        <v>878</v>
      </c>
    </row>
    <row r="163" spans="1:8">
      <c r="A163">
        <v>95867</v>
      </c>
      <c r="B163">
        <v>626</v>
      </c>
      <c r="C163">
        <v>52.481284857289012</v>
      </c>
      <c r="D163" s="243" t="s">
        <v>908</v>
      </c>
      <c r="E163">
        <v>-99</v>
      </c>
      <c r="F163" t="s">
        <v>909</v>
      </c>
      <c r="G163" t="s">
        <v>910</v>
      </c>
      <c r="H163" t="s">
        <v>878</v>
      </c>
    </row>
    <row r="164" spans="1:8">
      <c r="A164">
        <v>95867</v>
      </c>
      <c r="B164">
        <v>649</v>
      </c>
      <c r="C164">
        <v>7.2825630877331479E-4</v>
      </c>
      <c r="D164" s="243" t="s">
        <v>908</v>
      </c>
      <c r="E164">
        <v>-99</v>
      </c>
      <c r="F164" t="s">
        <v>909</v>
      </c>
      <c r="G164" t="s">
        <v>604</v>
      </c>
      <c r="H164" t="s">
        <v>878</v>
      </c>
    </row>
    <row r="165" spans="1:8">
      <c r="A165">
        <v>95867</v>
      </c>
      <c r="B165">
        <v>666</v>
      </c>
      <c r="C165">
        <v>2.8446076279362806E-4</v>
      </c>
      <c r="D165" s="243" t="s">
        <v>908</v>
      </c>
      <c r="E165">
        <v>-99</v>
      </c>
      <c r="F165" t="s">
        <v>909</v>
      </c>
      <c r="G165" t="s">
        <v>604</v>
      </c>
      <c r="H165" t="s">
        <v>878</v>
      </c>
    </row>
    <row r="166" spans="1:8">
      <c r="A166">
        <v>95867</v>
      </c>
      <c r="B166">
        <v>669</v>
      </c>
      <c r="C166">
        <v>0.15243642568916921</v>
      </c>
      <c r="D166" s="243" t="s">
        <v>908</v>
      </c>
      <c r="E166">
        <v>-99</v>
      </c>
      <c r="F166" t="s">
        <v>909</v>
      </c>
      <c r="G166" t="s">
        <v>604</v>
      </c>
      <c r="H166" t="s">
        <v>878</v>
      </c>
    </row>
    <row r="167" spans="1:8">
      <c r="A167">
        <v>95867</v>
      </c>
      <c r="B167">
        <v>689</v>
      </c>
      <c r="C167">
        <v>3.0486989748169685E-4</v>
      </c>
      <c r="D167" s="243" t="s">
        <v>908</v>
      </c>
      <c r="E167">
        <v>-99</v>
      </c>
      <c r="F167" t="s">
        <v>909</v>
      </c>
      <c r="G167" t="s">
        <v>604</v>
      </c>
      <c r="H167" t="s">
        <v>878</v>
      </c>
    </row>
    <row r="168" spans="1:8">
      <c r="A168">
        <v>95867</v>
      </c>
      <c r="B168">
        <v>693</v>
      </c>
      <c r="C168">
        <v>1.643821457925311E-4</v>
      </c>
      <c r="D168" s="243" t="s">
        <v>908</v>
      </c>
      <c r="E168">
        <v>-99</v>
      </c>
      <c r="F168" t="s">
        <v>909</v>
      </c>
      <c r="G168" t="s">
        <v>604</v>
      </c>
      <c r="H168" t="s">
        <v>878</v>
      </c>
    </row>
    <row r="169" spans="1:8">
      <c r="A169">
        <v>95867</v>
      </c>
      <c r="B169">
        <v>694</v>
      </c>
      <c r="C169">
        <v>1.0371337720848106E-2</v>
      </c>
      <c r="D169" s="243" t="s">
        <v>908</v>
      </c>
      <c r="E169">
        <v>-99</v>
      </c>
      <c r="F169" t="s">
        <v>909</v>
      </c>
      <c r="G169" t="s">
        <v>604</v>
      </c>
      <c r="H169" t="s">
        <v>878</v>
      </c>
    </row>
    <row r="170" spans="1:8">
      <c r="A170">
        <v>95867</v>
      </c>
      <c r="B170">
        <v>695</v>
      </c>
      <c r="C170">
        <v>1.3350016565923477E-3</v>
      </c>
      <c r="D170" s="243" t="s">
        <v>908</v>
      </c>
      <c r="E170">
        <v>-99</v>
      </c>
      <c r="F170" t="s">
        <v>909</v>
      </c>
      <c r="G170" t="s">
        <v>604</v>
      </c>
      <c r="H170" t="s">
        <v>878</v>
      </c>
    </row>
    <row r="171" spans="1:8">
      <c r="A171">
        <v>95867</v>
      </c>
      <c r="B171">
        <v>696</v>
      </c>
      <c r="C171">
        <v>4.4523351439565949E-2</v>
      </c>
      <c r="D171" s="243" t="s">
        <v>908</v>
      </c>
      <c r="E171">
        <v>-99</v>
      </c>
      <c r="F171" t="s">
        <v>909</v>
      </c>
      <c r="G171" t="s">
        <v>604</v>
      </c>
      <c r="H171" t="s">
        <v>878</v>
      </c>
    </row>
    <row r="172" spans="1:8">
      <c r="A172">
        <v>95867</v>
      </c>
      <c r="B172">
        <v>697</v>
      </c>
      <c r="C172">
        <v>2.5288699432053326E-4</v>
      </c>
      <c r="D172" s="243" t="s">
        <v>908</v>
      </c>
      <c r="E172">
        <v>-99</v>
      </c>
      <c r="F172" t="s">
        <v>909</v>
      </c>
      <c r="G172" t="s">
        <v>604</v>
      </c>
      <c r="H172" t="s">
        <v>878</v>
      </c>
    </row>
    <row r="173" spans="1:8">
      <c r="A173">
        <v>95867</v>
      </c>
      <c r="B173">
        <v>699</v>
      </c>
      <c r="C173">
        <v>0.38183682402694097</v>
      </c>
      <c r="D173" s="243" t="s">
        <v>908</v>
      </c>
      <c r="E173">
        <v>-99</v>
      </c>
      <c r="F173" t="s">
        <v>909</v>
      </c>
      <c r="G173" t="s">
        <v>676</v>
      </c>
      <c r="H173" t="s">
        <v>878</v>
      </c>
    </row>
    <row r="174" spans="1:8">
      <c r="A174">
        <v>95867</v>
      </c>
      <c r="B174">
        <v>714</v>
      </c>
      <c r="C174">
        <v>3.1145167258062986E-3</v>
      </c>
      <c r="D174" s="243" t="s">
        <v>908</v>
      </c>
      <c r="E174">
        <v>-99</v>
      </c>
      <c r="F174" t="s">
        <v>909</v>
      </c>
      <c r="G174" t="s">
        <v>604</v>
      </c>
      <c r="H174" t="s">
        <v>878</v>
      </c>
    </row>
    <row r="175" spans="1:8">
      <c r="A175">
        <v>95867</v>
      </c>
      <c r="B175">
        <v>715</v>
      </c>
      <c r="C175">
        <v>1.8609610591300591E-3</v>
      </c>
      <c r="D175" s="243" t="s">
        <v>908</v>
      </c>
      <c r="E175">
        <v>-99</v>
      </c>
      <c r="F175" t="s">
        <v>909</v>
      </c>
      <c r="G175" t="s">
        <v>604</v>
      </c>
      <c r="H175" t="s">
        <v>878</v>
      </c>
    </row>
    <row r="176" spans="1:8">
      <c r="A176">
        <v>95867</v>
      </c>
      <c r="B176">
        <v>767</v>
      </c>
      <c r="C176">
        <v>3.6680596124485682E-4</v>
      </c>
      <c r="D176" s="243" t="s">
        <v>908</v>
      </c>
      <c r="E176">
        <v>-99</v>
      </c>
      <c r="F176" t="s">
        <v>909</v>
      </c>
      <c r="G176" t="s">
        <v>604</v>
      </c>
      <c r="H176" t="s">
        <v>878</v>
      </c>
    </row>
    <row r="177" spans="1:8">
      <c r="A177">
        <v>95867</v>
      </c>
      <c r="B177">
        <v>778</v>
      </c>
      <c r="C177">
        <v>2.4649784754164492E-2</v>
      </c>
      <c r="D177" s="243" t="s">
        <v>908</v>
      </c>
      <c r="E177">
        <v>-99</v>
      </c>
      <c r="F177" t="s">
        <v>909</v>
      </c>
      <c r="G177" t="s">
        <v>604</v>
      </c>
      <c r="H177" t="s">
        <v>878</v>
      </c>
    </row>
    <row r="178" spans="1:8">
      <c r="A178">
        <v>95867</v>
      </c>
      <c r="B178">
        <v>779</v>
      </c>
      <c r="C178">
        <v>7.1103279277283024E-4</v>
      </c>
      <c r="D178" s="243" t="s">
        <v>908</v>
      </c>
      <c r="E178">
        <v>-99</v>
      </c>
      <c r="F178" t="s">
        <v>909</v>
      </c>
      <c r="G178" t="s">
        <v>604</v>
      </c>
      <c r="H178" t="s">
        <v>878</v>
      </c>
    </row>
    <row r="179" spans="1:8">
      <c r="A179">
        <v>95867</v>
      </c>
      <c r="B179">
        <v>795</v>
      </c>
      <c r="C179">
        <v>0.13066979011647351</v>
      </c>
      <c r="D179" s="243" t="s">
        <v>908</v>
      </c>
      <c r="E179">
        <v>-99</v>
      </c>
      <c r="F179" t="s">
        <v>909</v>
      </c>
      <c r="G179" t="s">
        <v>604</v>
      </c>
      <c r="H179" t="s">
        <v>878</v>
      </c>
    </row>
    <row r="180" spans="1:8">
      <c r="A180">
        <v>95867</v>
      </c>
      <c r="B180">
        <v>797</v>
      </c>
      <c r="C180">
        <v>3.4783411999597114</v>
      </c>
      <c r="D180" s="243" t="s">
        <v>908</v>
      </c>
      <c r="E180">
        <v>-99</v>
      </c>
      <c r="F180" t="s">
        <v>909</v>
      </c>
      <c r="G180" t="s">
        <v>910</v>
      </c>
      <c r="H180" t="s">
        <v>878</v>
      </c>
    </row>
    <row r="181" spans="1:8">
      <c r="A181">
        <v>95867</v>
      </c>
      <c r="B181">
        <v>2668</v>
      </c>
      <c r="C181">
        <v>9.1640837766465824E-2</v>
      </c>
      <c r="D181" s="243" t="s">
        <v>908</v>
      </c>
      <c r="E181">
        <v>-99</v>
      </c>
      <c r="F181" t="s">
        <v>909</v>
      </c>
      <c r="G181" t="s">
        <v>676</v>
      </c>
      <c r="H181" t="s">
        <v>878</v>
      </c>
    </row>
    <row r="182" spans="1:8">
      <c r="A182">
        <v>95867</v>
      </c>
      <c r="B182">
        <v>2669</v>
      </c>
      <c r="C182">
        <v>43.105535538422444</v>
      </c>
      <c r="D182" s="243" t="s">
        <v>908</v>
      </c>
      <c r="E182">
        <v>-99</v>
      </c>
      <c r="F182" t="s">
        <v>909</v>
      </c>
      <c r="G182" t="s">
        <v>676</v>
      </c>
      <c r="H182" t="s">
        <v>878</v>
      </c>
    </row>
    <row r="183" spans="1:8">
      <c r="A183">
        <v>95867</v>
      </c>
      <c r="B183">
        <v>2670</v>
      </c>
      <c r="C183">
        <v>3.0136377806356793E-2</v>
      </c>
      <c r="D183" s="243" t="s">
        <v>908</v>
      </c>
      <c r="E183">
        <v>-99</v>
      </c>
      <c r="F183" t="s">
        <v>909</v>
      </c>
      <c r="G183" t="s">
        <v>676</v>
      </c>
      <c r="H183" t="s">
        <v>878</v>
      </c>
    </row>
    <row r="184" spans="1:8">
      <c r="A184">
        <v>95868</v>
      </c>
      <c r="B184">
        <v>292</v>
      </c>
      <c r="C184">
        <v>2.4866713808226843E-4</v>
      </c>
      <c r="D184" s="243" t="s">
        <v>908</v>
      </c>
      <c r="E184">
        <v>-99</v>
      </c>
      <c r="F184" t="s">
        <v>909</v>
      </c>
      <c r="G184" t="s">
        <v>604</v>
      </c>
      <c r="H184" t="s">
        <v>878</v>
      </c>
    </row>
    <row r="185" spans="1:8">
      <c r="A185">
        <v>95868</v>
      </c>
      <c r="B185">
        <v>296</v>
      </c>
      <c r="C185">
        <v>8.3134695610075551E-3</v>
      </c>
      <c r="D185" s="243" t="s">
        <v>908</v>
      </c>
      <c r="E185">
        <v>-99</v>
      </c>
      <c r="F185" t="s">
        <v>909</v>
      </c>
      <c r="G185" t="s">
        <v>604</v>
      </c>
      <c r="H185" t="s">
        <v>878</v>
      </c>
    </row>
    <row r="186" spans="1:8">
      <c r="A186">
        <v>95868</v>
      </c>
      <c r="B186">
        <v>300</v>
      </c>
      <c r="C186">
        <v>6.0446737010442131E-4</v>
      </c>
      <c r="D186" s="243" t="s">
        <v>908</v>
      </c>
      <c r="E186">
        <v>-99</v>
      </c>
      <c r="F186" t="s">
        <v>909</v>
      </c>
      <c r="G186" t="s">
        <v>604</v>
      </c>
      <c r="H186" t="s">
        <v>878</v>
      </c>
    </row>
    <row r="187" spans="1:8">
      <c r="A187">
        <v>95868</v>
      </c>
      <c r="B187">
        <v>328</v>
      </c>
      <c r="C187">
        <v>3.9982619198308551E-3</v>
      </c>
      <c r="D187" s="243" t="s">
        <v>908</v>
      </c>
      <c r="E187">
        <v>-99</v>
      </c>
      <c r="F187" t="s">
        <v>909</v>
      </c>
      <c r="G187" t="s">
        <v>604</v>
      </c>
      <c r="H187" t="s">
        <v>878</v>
      </c>
    </row>
    <row r="188" spans="1:8">
      <c r="A188">
        <v>95868</v>
      </c>
      <c r="B188">
        <v>329</v>
      </c>
      <c r="C188">
        <v>1.570971187010135E-2</v>
      </c>
      <c r="D188" s="243" t="s">
        <v>908</v>
      </c>
      <c r="E188">
        <v>-99</v>
      </c>
      <c r="F188" t="s">
        <v>909</v>
      </c>
      <c r="G188" t="s">
        <v>604</v>
      </c>
      <c r="H188" t="s">
        <v>878</v>
      </c>
    </row>
    <row r="189" spans="1:8">
      <c r="A189">
        <v>95868</v>
      </c>
      <c r="B189">
        <v>347</v>
      </c>
      <c r="C189">
        <v>4.4580573310135305E-2</v>
      </c>
      <c r="D189" s="243" t="s">
        <v>908</v>
      </c>
      <c r="E189">
        <v>-99</v>
      </c>
      <c r="F189" t="s">
        <v>909</v>
      </c>
      <c r="G189" t="s">
        <v>604</v>
      </c>
      <c r="H189" t="s">
        <v>878</v>
      </c>
    </row>
    <row r="190" spans="1:8">
      <c r="A190">
        <v>95868</v>
      </c>
      <c r="B190">
        <v>380</v>
      </c>
      <c r="C190">
        <v>7.4142458662916644E-4</v>
      </c>
      <c r="D190" s="243" t="s">
        <v>908</v>
      </c>
      <c r="E190">
        <v>-99</v>
      </c>
      <c r="F190" t="s">
        <v>909</v>
      </c>
      <c r="G190" t="s">
        <v>604</v>
      </c>
      <c r="H190" t="s">
        <v>878</v>
      </c>
    </row>
    <row r="191" spans="1:8">
      <c r="A191">
        <v>95868</v>
      </c>
      <c r="B191">
        <v>487</v>
      </c>
      <c r="C191">
        <v>3.5196442704550903E-3</v>
      </c>
      <c r="D191" s="243" t="s">
        <v>908</v>
      </c>
      <c r="E191">
        <v>-99</v>
      </c>
      <c r="F191" t="s">
        <v>909</v>
      </c>
      <c r="G191" t="s">
        <v>604</v>
      </c>
      <c r="H191" t="s">
        <v>878</v>
      </c>
    </row>
    <row r="192" spans="1:8">
      <c r="A192">
        <v>95868</v>
      </c>
      <c r="B192">
        <v>488</v>
      </c>
      <c r="C192">
        <v>2.4770950518282031E-4</v>
      </c>
      <c r="D192" s="243" t="s">
        <v>908</v>
      </c>
      <c r="E192">
        <v>-99</v>
      </c>
      <c r="F192" t="s">
        <v>909</v>
      </c>
      <c r="G192" t="s">
        <v>604</v>
      </c>
      <c r="H192" t="s">
        <v>878</v>
      </c>
    </row>
    <row r="193" spans="1:8">
      <c r="A193">
        <v>95868</v>
      </c>
      <c r="B193">
        <v>519</v>
      </c>
      <c r="C193">
        <v>1.2784064047524459E-4</v>
      </c>
      <c r="D193" s="243" t="s">
        <v>908</v>
      </c>
      <c r="E193">
        <v>-99</v>
      </c>
      <c r="F193" t="s">
        <v>909</v>
      </c>
      <c r="G193" t="s">
        <v>604</v>
      </c>
      <c r="H193" t="s">
        <v>878</v>
      </c>
    </row>
    <row r="194" spans="1:8">
      <c r="A194">
        <v>95868</v>
      </c>
      <c r="B194">
        <v>525</v>
      </c>
      <c r="C194">
        <v>1.418917040930354E-2</v>
      </c>
      <c r="D194" s="243" t="s">
        <v>908</v>
      </c>
      <c r="E194">
        <v>-99</v>
      </c>
      <c r="F194" t="s">
        <v>909</v>
      </c>
      <c r="G194" t="s">
        <v>604</v>
      </c>
      <c r="H194" t="s">
        <v>878</v>
      </c>
    </row>
    <row r="195" spans="1:8">
      <c r="A195">
        <v>95868</v>
      </c>
      <c r="B195">
        <v>526</v>
      </c>
      <c r="C195">
        <v>1.333878197752086E-4</v>
      </c>
      <c r="D195" s="243" t="s">
        <v>908</v>
      </c>
      <c r="E195">
        <v>-99</v>
      </c>
      <c r="F195" t="s">
        <v>909</v>
      </c>
      <c r="G195" t="s">
        <v>604</v>
      </c>
      <c r="H195" t="s">
        <v>878</v>
      </c>
    </row>
    <row r="196" spans="1:8">
      <c r="A196">
        <v>95868</v>
      </c>
      <c r="B196">
        <v>528</v>
      </c>
      <c r="C196">
        <v>4.2051998615991881E-4</v>
      </c>
      <c r="D196" s="243" t="s">
        <v>908</v>
      </c>
      <c r="E196">
        <v>-99</v>
      </c>
      <c r="F196" t="s">
        <v>909</v>
      </c>
      <c r="G196" t="s">
        <v>604</v>
      </c>
      <c r="H196" t="s">
        <v>878</v>
      </c>
    </row>
    <row r="197" spans="1:8">
      <c r="A197">
        <v>95868</v>
      </c>
      <c r="B197">
        <v>586</v>
      </c>
      <c r="C197">
        <v>6.9653608924037831E-4</v>
      </c>
      <c r="D197" s="243" t="s">
        <v>908</v>
      </c>
      <c r="E197">
        <v>-99</v>
      </c>
      <c r="F197" t="s">
        <v>909</v>
      </c>
      <c r="G197" t="s">
        <v>604</v>
      </c>
      <c r="H197" t="s">
        <v>878</v>
      </c>
    </row>
    <row r="198" spans="1:8">
      <c r="A198">
        <v>95868</v>
      </c>
      <c r="B198">
        <v>626</v>
      </c>
      <c r="C198">
        <v>46.530673800337453</v>
      </c>
      <c r="D198" s="243" t="s">
        <v>908</v>
      </c>
      <c r="E198">
        <v>-99</v>
      </c>
      <c r="F198" t="s">
        <v>909</v>
      </c>
      <c r="G198" t="s">
        <v>910</v>
      </c>
      <c r="H198" t="s">
        <v>878</v>
      </c>
    </row>
    <row r="199" spans="1:8">
      <c r="A199">
        <v>95868</v>
      </c>
      <c r="B199">
        <v>649</v>
      </c>
      <c r="C199">
        <v>2.0067544669152184E-4</v>
      </c>
      <c r="D199" s="243" t="s">
        <v>908</v>
      </c>
      <c r="E199">
        <v>-99</v>
      </c>
      <c r="F199" t="s">
        <v>909</v>
      </c>
      <c r="G199" t="s">
        <v>604</v>
      </c>
      <c r="H199" t="s">
        <v>878</v>
      </c>
    </row>
    <row r="200" spans="1:8">
      <c r="A200">
        <v>95868</v>
      </c>
      <c r="B200">
        <v>666</v>
      </c>
      <c r="C200">
        <v>3.021093277779946E-3</v>
      </c>
      <c r="D200" s="243" t="s">
        <v>908</v>
      </c>
      <c r="E200">
        <v>-99</v>
      </c>
      <c r="F200" t="s">
        <v>909</v>
      </c>
      <c r="G200" t="s">
        <v>604</v>
      </c>
      <c r="H200" t="s">
        <v>878</v>
      </c>
    </row>
    <row r="201" spans="1:8">
      <c r="A201">
        <v>95868</v>
      </c>
      <c r="B201">
        <v>669</v>
      </c>
      <c r="C201">
        <v>1.0641160476996057</v>
      </c>
      <c r="D201" s="243" t="s">
        <v>908</v>
      </c>
      <c r="E201">
        <v>-99</v>
      </c>
      <c r="F201" t="s">
        <v>909</v>
      </c>
      <c r="G201" t="s">
        <v>604</v>
      </c>
      <c r="H201" t="s">
        <v>878</v>
      </c>
    </row>
    <row r="202" spans="1:8">
      <c r="A202">
        <v>95868</v>
      </c>
      <c r="B202">
        <v>689</v>
      </c>
      <c r="C202">
        <v>3.3741450989256561E-3</v>
      </c>
      <c r="D202" s="243" t="s">
        <v>908</v>
      </c>
      <c r="E202">
        <v>-99</v>
      </c>
      <c r="F202" t="s">
        <v>909</v>
      </c>
      <c r="G202" t="s">
        <v>604</v>
      </c>
      <c r="H202" t="s">
        <v>878</v>
      </c>
    </row>
    <row r="203" spans="1:8">
      <c r="A203">
        <v>95868</v>
      </c>
      <c r="B203">
        <v>693</v>
      </c>
      <c r="C203">
        <v>1.0028385754162921E-3</v>
      </c>
      <c r="D203" s="243" t="s">
        <v>908</v>
      </c>
      <c r="E203">
        <v>-99</v>
      </c>
      <c r="F203" t="s">
        <v>909</v>
      </c>
      <c r="G203" t="s">
        <v>604</v>
      </c>
      <c r="H203" t="s">
        <v>878</v>
      </c>
    </row>
    <row r="204" spans="1:8">
      <c r="A204">
        <v>95868</v>
      </c>
      <c r="B204">
        <v>694</v>
      </c>
      <c r="C204">
        <v>9.1770069413480371E-2</v>
      </c>
      <c r="D204" s="243" t="s">
        <v>908</v>
      </c>
      <c r="E204">
        <v>-99</v>
      </c>
      <c r="F204" t="s">
        <v>909</v>
      </c>
      <c r="G204" t="s">
        <v>604</v>
      </c>
      <c r="H204" t="s">
        <v>878</v>
      </c>
    </row>
    <row r="205" spans="1:8">
      <c r="A205">
        <v>95868</v>
      </c>
      <c r="B205">
        <v>695</v>
      </c>
      <c r="C205">
        <v>5.0396800805022589E-3</v>
      </c>
      <c r="D205" s="243" t="s">
        <v>908</v>
      </c>
      <c r="E205">
        <v>-99</v>
      </c>
      <c r="F205" t="s">
        <v>909</v>
      </c>
      <c r="G205" t="s">
        <v>604</v>
      </c>
      <c r="H205" t="s">
        <v>878</v>
      </c>
    </row>
    <row r="206" spans="1:8">
      <c r="A206">
        <v>95868</v>
      </c>
      <c r="B206">
        <v>696</v>
      </c>
      <c r="C206">
        <v>6.6447344894936353E-4</v>
      </c>
      <c r="D206" s="243" t="s">
        <v>908</v>
      </c>
      <c r="E206">
        <v>-99</v>
      </c>
      <c r="F206" t="s">
        <v>909</v>
      </c>
      <c r="G206" t="s">
        <v>604</v>
      </c>
      <c r="H206" t="s">
        <v>878</v>
      </c>
    </row>
    <row r="207" spans="1:8">
      <c r="A207">
        <v>95868</v>
      </c>
      <c r="B207">
        <v>697</v>
      </c>
      <c r="C207">
        <v>1.5699872279209155E-4</v>
      </c>
      <c r="D207" s="243" t="s">
        <v>908</v>
      </c>
      <c r="E207">
        <v>-99</v>
      </c>
      <c r="F207" t="s">
        <v>909</v>
      </c>
      <c r="G207" t="s">
        <v>604</v>
      </c>
      <c r="H207" t="s">
        <v>878</v>
      </c>
    </row>
    <row r="208" spans="1:8">
      <c r="A208">
        <v>95868</v>
      </c>
      <c r="B208">
        <v>699</v>
      </c>
      <c r="C208">
        <v>1.3096436244433407</v>
      </c>
      <c r="D208" s="243" t="s">
        <v>908</v>
      </c>
      <c r="E208">
        <v>-99</v>
      </c>
      <c r="F208" t="s">
        <v>909</v>
      </c>
      <c r="G208" t="s">
        <v>676</v>
      </c>
      <c r="H208" t="s">
        <v>878</v>
      </c>
    </row>
    <row r="209" spans="1:8">
      <c r="A209">
        <v>95868</v>
      </c>
      <c r="B209">
        <v>714</v>
      </c>
      <c r="C209">
        <v>2.8058809839850824E-3</v>
      </c>
      <c r="D209" s="243" t="s">
        <v>908</v>
      </c>
      <c r="E209">
        <v>-99</v>
      </c>
      <c r="F209" t="s">
        <v>909</v>
      </c>
      <c r="G209" t="s">
        <v>604</v>
      </c>
      <c r="H209" t="s">
        <v>878</v>
      </c>
    </row>
    <row r="210" spans="1:8">
      <c r="A210">
        <v>95868</v>
      </c>
      <c r="B210">
        <v>715</v>
      </c>
      <c r="C210">
        <v>1.7942877010736905E-4</v>
      </c>
      <c r="D210" s="243" t="s">
        <v>908</v>
      </c>
      <c r="E210">
        <v>-99</v>
      </c>
      <c r="F210" t="s">
        <v>909</v>
      </c>
      <c r="G210" t="s">
        <v>604</v>
      </c>
      <c r="H210" t="s">
        <v>878</v>
      </c>
    </row>
    <row r="211" spans="1:8">
      <c r="A211">
        <v>95868</v>
      </c>
      <c r="B211">
        <v>767</v>
      </c>
      <c r="C211">
        <v>3.0084282683339283E-4</v>
      </c>
      <c r="D211" s="243" t="s">
        <v>908</v>
      </c>
      <c r="E211">
        <v>-99</v>
      </c>
      <c r="F211" t="s">
        <v>909</v>
      </c>
      <c r="G211" t="s">
        <v>604</v>
      </c>
      <c r="H211" t="s">
        <v>878</v>
      </c>
    </row>
    <row r="212" spans="1:8">
      <c r="A212">
        <v>95868</v>
      </c>
      <c r="B212">
        <v>778</v>
      </c>
      <c r="C212">
        <v>8.1254696900641146E-2</v>
      </c>
      <c r="D212" s="243" t="s">
        <v>908</v>
      </c>
      <c r="E212">
        <v>-99</v>
      </c>
      <c r="F212" t="s">
        <v>909</v>
      </c>
      <c r="G212" t="s">
        <v>604</v>
      </c>
      <c r="H212" t="s">
        <v>878</v>
      </c>
    </row>
    <row r="213" spans="1:8">
      <c r="A213">
        <v>95868</v>
      </c>
      <c r="B213">
        <v>779</v>
      </c>
      <c r="C213">
        <v>1.8260306925466679E-4</v>
      </c>
      <c r="D213" s="243" t="s">
        <v>908</v>
      </c>
      <c r="E213">
        <v>-99</v>
      </c>
      <c r="F213" t="s">
        <v>909</v>
      </c>
      <c r="G213" t="s">
        <v>604</v>
      </c>
      <c r="H213" t="s">
        <v>878</v>
      </c>
    </row>
    <row r="214" spans="1:8">
      <c r="A214">
        <v>95868</v>
      </c>
      <c r="B214">
        <v>795</v>
      </c>
      <c r="C214">
        <v>0.39001124332570553</v>
      </c>
      <c r="D214" s="243" t="s">
        <v>908</v>
      </c>
      <c r="E214">
        <v>-99</v>
      </c>
      <c r="F214" t="s">
        <v>909</v>
      </c>
      <c r="G214" t="s">
        <v>604</v>
      </c>
      <c r="H214" t="s">
        <v>878</v>
      </c>
    </row>
    <row r="215" spans="1:8">
      <c r="A215">
        <v>95868</v>
      </c>
      <c r="B215">
        <v>797</v>
      </c>
      <c r="C215">
        <v>4.6136933844929313</v>
      </c>
      <c r="D215" s="243" t="s">
        <v>908</v>
      </c>
      <c r="E215">
        <v>-99</v>
      </c>
      <c r="F215" t="s">
        <v>909</v>
      </c>
      <c r="G215" t="s">
        <v>910</v>
      </c>
      <c r="H215" t="s">
        <v>878</v>
      </c>
    </row>
    <row r="216" spans="1:8">
      <c r="A216">
        <v>95868</v>
      </c>
      <c r="B216">
        <v>2668</v>
      </c>
      <c r="C216">
        <v>0.31431446986640171</v>
      </c>
      <c r="D216" s="243" t="s">
        <v>908</v>
      </c>
      <c r="E216">
        <v>-99</v>
      </c>
      <c r="F216" t="s">
        <v>909</v>
      </c>
      <c r="G216" t="s">
        <v>676</v>
      </c>
      <c r="H216" t="s">
        <v>878</v>
      </c>
    </row>
    <row r="217" spans="1:8">
      <c r="A217">
        <v>95868</v>
      </c>
      <c r="B217">
        <v>2669</v>
      </c>
      <c r="C217">
        <v>45.313321511148459</v>
      </c>
      <c r="D217" s="243" t="s">
        <v>908</v>
      </c>
      <c r="E217">
        <v>-99</v>
      </c>
      <c r="F217" t="s">
        <v>909</v>
      </c>
      <c r="G217" t="s">
        <v>676</v>
      </c>
      <c r="H217" t="s">
        <v>878</v>
      </c>
    </row>
    <row r="218" spans="1:8">
      <c r="A218">
        <v>95868</v>
      </c>
      <c r="B218">
        <v>2670</v>
      </c>
      <c r="C218">
        <v>0.18074629329384884</v>
      </c>
      <c r="D218" s="243" t="s">
        <v>908</v>
      </c>
      <c r="E218">
        <v>-99</v>
      </c>
      <c r="F218" t="s">
        <v>909</v>
      </c>
      <c r="G218" t="s">
        <v>676</v>
      </c>
      <c r="H218" t="s">
        <v>878</v>
      </c>
    </row>
    <row r="219" spans="1:8">
      <c r="A219">
        <v>95869</v>
      </c>
      <c r="B219">
        <v>296</v>
      </c>
      <c r="C219">
        <v>4.5001312646831462E-3</v>
      </c>
      <c r="D219" s="243" t="s">
        <v>908</v>
      </c>
      <c r="E219">
        <v>-99</v>
      </c>
      <c r="F219" t="s">
        <v>909</v>
      </c>
      <c r="G219" t="s">
        <v>604</v>
      </c>
      <c r="H219" t="s">
        <v>878</v>
      </c>
    </row>
    <row r="220" spans="1:8">
      <c r="A220">
        <v>95869</v>
      </c>
      <c r="B220">
        <v>300</v>
      </c>
      <c r="C220">
        <v>6.930211013773741E-4</v>
      </c>
      <c r="D220" s="243" t="s">
        <v>908</v>
      </c>
      <c r="E220">
        <v>-99</v>
      </c>
      <c r="F220" t="s">
        <v>909</v>
      </c>
      <c r="G220" t="s">
        <v>604</v>
      </c>
      <c r="H220" t="s">
        <v>878</v>
      </c>
    </row>
    <row r="221" spans="1:8">
      <c r="A221">
        <v>95869</v>
      </c>
      <c r="B221">
        <v>328</v>
      </c>
      <c r="C221">
        <v>5.016936467803366E-3</v>
      </c>
      <c r="D221" s="243" t="s">
        <v>908</v>
      </c>
      <c r="E221">
        <v>-99</v>
      </c>
      <c r="F221" t="s">
        <v>909</v>
      </c>
      <c r="G221" t="s">
        <v>604</v>
      </c>
      <c r="H221" t="s">
        <v>878</v>
      </c>
    </row>
    <row r="222" spans="1:8">
      <c r="A222">
        <v>95869</v>
      </c>
      <c r="B222">
        <v>329</v>
      </c>
      <c r="C222">
        <v>5.6697536415964173E-2</v>
      </c>
      <c r="D222" s="243" t="s">
        <v>908</v>
      </c>
      <c r="E222">
        <v>-99</v>
      </c>
      <c r="F222" t="s">
        <v>909</v>
      </c>
      <c r="G222" t="s">
        <v>604</v>
      </c>
      <c r="H222" t="s">
        <v>878</v>
      </c>
    </row>
    <row r="223" spans="1:8">
      <c r="A223">
        <v>95869</v>
      </c>
      <c r="B223">
        <v>347</v>
      </c>
      <c r="C223">
        <v>2.623024768874627E-2</v>
      </c>
      <c r="D223" s="243" t="s">
        <v>908</v>
      </c>
      <c r="E223">
        <v>-99</v>
      </c>
      <c r="F223" t="s">
        <v>909</v>
      </c>
      <c r="G223" t="s">
        <v>604</v>
      </c>
      <c r="H223" t="s">
        <v>878</v>
      </c>
    </row>
    <row r="224" spans="1:8">
      <c r="A224">
        <v>95869</v>
      </c>
      <c r="B224">
        <v>380</v>
      </c>
      <c r="C224">
        <v>6.2718612529742419E-4</v>
      </c>
      <c r="D224" s="243" t="s">
        <v>908</v>
      </c>
      <c r="E224">
        <v>-99</v>
      </c>
      <c r="F224" t="s">
        <v>909</v>
      </c>
      <c r="G224" t="s">
        <v>604</v>
      </c>
      <c r="H224" t="s">
        <v>878</v>
      </c>
    </row>
    <row r="225" spans="1:8">
      <c r="A225">
        <v>95869</v>
      </c>
      <c r="B225">
        <v>487</v>
      </c>
      <c r="C225">
        <v>1.6222359891962693E-3</v>
      </c>
      <c r="D225" s="243" t="s">
        <v>908</v>
      </c>
      <c r="E225">
        <v>-99</v>
      </c>
      <c r="F225" t="s">
        <v>909</v>
      </c>
      <c r="G225" t="s">
        <v>604</v>
      </c>
      <c r="H225" t="s">
        <v>878</v>
      </c>
    </row>
    <row r="226" spans="1:8">
      <c r="A226">
        <v>95869</v>
      </c>
      <c r="B226">
        <v>488</v>
      </c>
      <c r="C226">
        <v>1.3296383994782843E-2</v>
      </c>
      <c r="D226" s="243" t="s">
        <v>908</v>
      </c>
      <c r="E226">
        <v>-99</v>
      </c>
      <c r="F226" t="s">
        <v>909</v>
      </c>
      <c r="G226" t="s">
        <v>604</v>
      </c>
      <c r="H226" t="s">
        <v>878</v>
      </c>
    </row>
    <row r="227" spans="1:8">
      <c r="A227">
        <v>95869</v>
      </c>
      <c r="B227">
        <v>519</v>
      </c>
      <c r="C227">
        <v>4.6868117409272356E-4</v>
      </c>
      <c r="D227" s="243" t="s">
        <v>908</v>
      </c>
      <c r="E227">
        <v>-99</v>
      </c>
      <c r="F227" t="s">
        <v>909</v>
      </c>
      <c r="G227" t="s">
        <v>604</v>
      </c>
      <c r="H227" t="s">
        <v>878</v>
      </c>
    </row>
    <row r="228" spans="1:8">
      <c r="A228">
        <v>95869</v>
      </c>
      <c r="B228">
        <v>520</v>
      </c>
      <c r="C228">
        <v>1.8035381558847577E-3</v>
      </c>
      <c r="D228" s="243" t="s">
        <v>908</v>
      </c>
      <c r="E228">
        <v>-99</v>
      </c>
      <c r="F228" t="s">
        <v>909</v>
      </c>
      <c r="G228" t="s">
        <v>604</v>
      </c>
      <c r="H228" t="s">
        <v>878</v>
      </c>
    </row>
    <row r="229" spans="1:8">
      <c r="A229">
        <v>95869</v>
      </c>
      <c r="B229">
        <v>526</v>
      </c>
      <c r="C229">
        <v>1.3173020979835909E-3</v>
      </c>
      <c r="D229" s="243" t="s">
        <v>908</v>
      </c>
      <c r="E229">
        <v>-99</v>
      </c>
      <c r="F229" t="s">
        <v>909</v>
      </c>
      <c r="G229" t="s">
        <v>604</v>
      </c>
      <c r="H229" t="s">
        <v>878</v>
      </c>
    </row>
    <row r="230" spans="1:8">
      <c r="A230">
        <v>95869</v>
      </c>
      <c r="B230">
        <v>612</v>
      </c>
      <c r="C230">
        <v>1.5532775268318757E-5</v>
      </c>
      <c r="D230" s="243" t="s">
        <v>908</v>
      </c>
      <c r="E230">
        <v>-99</v>
      </c>
      <c r="F230" t="s">
        <v>909</v>
      </c>
      <c r="G230" t="s">
        <v>604</v>
      </c>
      <c r="H230" t="s">
        <v>878</v>
      </c>
    </row>
    <row r="231" spans="1:8">
      <c r="A231">
        <v>95869</v>
      </c>
      <c r="B231">
        <v>626</v>
      </c>
      <c r="C231">
        <v>47.526322426489664</v>
      </c>
      <c r="D231" s="243" t="s">
        <v>908</v>
      </c>
      <c r="E231">
        <v>-99</v>
      </c>
      <c r="F231" t="s">
        <v>909</v>
      </c>
      <c r="G231" t="s">
        <v>910</v>
      </c>
      <c r="H231" t="s">
        <v>878</v>
      </c>
    </row>
    <row r="232" spans="1:8">
      <c r="A232">
        <v>95869</v>
      </c>
      <c r="B232">
        <v>649</v>
      </c>
      <c r="C232">
        <v>6.2598301557149894E-4</v>
      </c>
      <c r="D232" s="243" t="s">
        <v>908</v>
      </c>
      <c r="E232">
        <v>-99</v>
      </c>
      <c r="F232" t="s">
        <v>909</v>
      </c>
      <c r="G232" t="s">
        <v>604</v>
      </c>
      <c r="H232" t="s">
        <v>878</v>
      </c>
    </row>
    <row r="233" spans="1:8">
      <c r="A233">
        <v>95869</v>
      </c>
      <c r="B233">
        <v>666</v>
      </c>
      <c r="C233">
        <v>8.5535457301656606E-4</v>
      </c>
      <c r="D233" s="243" t="s">
        <v>908</v>
      </c>
      <c r="E233">
        <v>-99</v>
      </c>
      <c r="F233" t="s">
        <v>909</v>
      </c>
      <c r="G233" t="s">
        <v>604</v>
      </c>
      <c r="H233" t="s">
        <v>878</v>
      </c>
    </row>
    <row r="234" spans="1:8">
      <c r="A234">
        <v>95869</v>
      </c>
      <c r="B234">
        <v>669</v>
      </c>
      <c r="C234">
        <v>0.9618895386074614</v>
      </c>
      <c r="D234" s="243" t="s">
        <v>908</v>
      </c>
      <c r="E234">
        <v>-99</v>
      </c>
      <c r="F234" t="s">
        <v>909</v>
      </c>
      <c r="G234" t="s">
        <v>604</v>
      </c>
      <c r="H234" t="s">
        <v>878</v>
      </c>
    </row>
    <row r="235" spans="1:8">
      <c r="A235">
        <v>95869</v>
      </c>
      <c r="B235">
        <v>689</v>
      </c>
      <c r="C235">
        <v>3.9481762673756072E-3</v>
      </c>
      <c r="D235" s="243" t="s">
        <v>908</v>
      </c>
      <c r="E235">
        <v>-99</v>
      </c>
      <c r="F235" t="s">
        <v>909</v>
      </c>
      <c r="G235" t="s">
        <v>604</v>
      </c>
      <c r="H235" t="s">
        <v>878</v>
      </c>
    </row>
    <row r="236" spans="1:8">
      <c r="A236">
        <v>95869</v>
      </c>
      <c r="B236">
        <v>693</v>
      </c>
      <c r="C236">
        <v>4.4480172279015676E-4</v>
      </c>
      <c r="D236" s="243" t="s">
        <v>908</v>
      </c>
      <c r="E236">
        <v>-99</v>
      </c>
      <c r="F236" t="s">
        <v>909</v>
      </c>
      <c r="G236" t="s">
        <v>604</v>
      </c>
      <c r="H236" t="s">
        <v>878</v>
      </c>
    </row>
    <row r="237" spans="1:8">
      <c r="A237">
        <v>95869</v>
      </c>
      <c r="B237">
        <v>694</v>
      </c>
      <c r="C237">
        <v>9.0172435744710951E-3</v>
      </c>
      <c r="D237" s="243" t="s">
        <v>908</v>
      </c>
      <c r="E237">
        <v>-99</v>
      </c>
      <c r="F237" t="s">
        <v>909</v>
      </c>
      <c r="G237" t="s">
        <v>604</v>
      </c>
      <c r="H237" t="s">
        <v>878</v>
      </c>
    </row>
    <row r="238" spans="1:8">
      <c r="A238">
        <v>95869</v>
      </c>
      <c r="B238">
        <v>695</v>
      </c>
      <c r="C238">
        <v>1.817138777419488E-4</v>
      </c>
      <c r="D238" s="243" t="s">
        <v>908</v>
      </c>
      <c r="E238">
        <v>-99</v>
      </c>
      <c r="F238" t="s">
        <v>909</v>
      </c>
      <c r="G238" t="s">
        <v>604</v>
      </c>
      <c r="H238" t="s">
        <v>878</v>
      </c>
    </row>
    <row r="239" spans="1:8">
      <c r="A239">
        <v>95869</v>
      </c>
      <c r="B239">
        <v>696</v>
      </c>
      <c r="C239">
        <v>3.2092743768119977E-2</v>
      </c>
      <c r="D239" s="243" t="s">
        <v>908</v>
      </c>
      <c r="E239">
        <v>-99</v>
      </c>
      <c r="F239" t="s">
        <v>909</v>
      </c>
      <c r="G239" t="s">
        <v>604</v>
      </c>
      <c r="H239" t="s">
        <v>878</v>
      </c>
    </row>
    <row r="240" spans="1:8">
      <c r="A240">
        <v>95869</v>
      </c>
      <c r="B240">
        <v>697</v>
      </c>
      <c r="C240">
        <v>3.6382393555713726E-5</v>
      </c>
      <c r="D240" s="243" t="s">
        <v>908</v>
      </c>
      <c r="E240">
        <v>-99</v>
      </c>
      <c r="F240" t="s">
        <v>909</v>
      </c>
      <c r="G240" t="s">
        <v>604</v>
      </c>
      <c r="H240" t="s">
        <v>878</v>
      </c>
    </row>
    <row r="241" spans="1:8">
      <c r="A241">
        <v>95869</v>
      </c>
      <c r="B241">
        <v>699</v>
      </c>
      <c r="C241">
        <v>1.2855504930022763</v>
      </c>
      <c r="D241" s="243" t="s">
        <v>908</v>
      </c>
      <c r="E241">
        <v>-99</v>
      </c>
      <c r="F241" t="s">
        <v>909</v>
      </c>
      <c r="G241" t="s">
        <v>676</v>
      </c>
      <c r="H241" t="s">
        <v>878</v>
      </c>
    </row>
    <row r="242" spans="1:8">
      <c r="A242">
        <v>95869</v>
      </c>
      <c r="B242">
        <v>714</v>
      </c>
      <c r="C242">
        <v>8.7621591034198927E-3</v>
      </c>
      <c r="D242" s="243" t="s">
        <v>908</v>
      </c>
      <c r="E242">
        <v>-99</v>
      </c>
      <c r="F242" t="s">
        <v>909</v>
      </c>
      <c r="G242" t="s">
        <v>604</v>
      </c>
      <c r="H242" t="s">
        <v>878</v>
      </c>
    </row>
    <row r="243" spans="1:8">
      <c r="A243">
        <v>95869</v>
      </c>
      <c r="B243">
        <v>715</v>
      </c>
      <c r="C243">
        <v>5.2024868983056772E-5</v>
      </c>
      <c r="D243" s="243" t="s">
        <v>908</v>
      </c>
      <c r="E243">
        <v>-99</v>
      </c>
      <c r="F243" t="s">
        <v>909</v>
      </c>
      <c r="G243" t="s">
        <v>604</v>
      </c>
      <c r="H243" t="s">
        <v>878</v>
      </c>
    </row>
    <row r="244" spans="1:8">
      <c r="A244">
        <v>95869</v>
      </c>
      <c r="B244">
        <v>767</v>
      </c>
      <c r="C244">
        <v>4.9824772929244035E-5</v>
      </c>
      <c r="D244" s="243" t="s">
        <v>908</v>
      </c>
      <c r="E244">
        <v>-99</v>
      </c>
      <c r="F244" t="s">
        <v>909</v>
      </c>
      <c r="G244" t="s">
        <v>604</v>
      </c>
      <c r="H244" t="s">
        <v>878</v>
      </c>
    </row>
    <row r="245" spans="1:8">
      <c r="A245">
        <v>95869</v>
      </c>
      <c r="B245">
        <v>778</v>
      </c>
      <c r="C245">
        <v>0.19743294455423091</v>
      </c>
      <c r="D245" s="243" t="s">
        <v>908</v>
      </c>
      <c r="E245">
        <v>-99</v>
      </c>
      <c r="F245" t="s">
        <v>909</v>
      </c>
      <c r="G245" t="s">
        <v>604</v>
      </c>
      <c r="H245" t="s">
        <v>878</v>
      </c>
    </row>
    <row r="246" spans="1:8">
      <c r="A246">
        <v>95869</v>
      </c>
      <c r="B246">
        <v>779</v>
      </c>
      <c r="C246">
        <v>1.9929909171697614E-4</v>
      </c>
      <c r="D246" s="243" t="s">
        <v>908</v>
      </c>
      <c r="E246">
        <v>-99</v>
      </c>
      <c r="F246" t="s">
        <v>909</v>
      </c>
      <c r="G246" t="s">
        <v>604</v>
      </c>
      <c r="H246" t="s">
        <v>878</v>
      </c>
    </row>
    <row r="247" spans="1:8">
      <c r="A247">
        <v>95869</v>
      </c>
      <c r="B247">
        <v>795</v>
      </c>
      <c r="C247">
        <v>0.43916316267949607</v>
      </c>
      <c r="D247" s="243" t="s">
        <v>908</v>
      </c>
      <c r="E247">
        <v>-99</v>
      </c>
      <c r="F247" t="s">
        <v>909</v>
      </c>
      <c r="G247" t="s">
        <v>604</v>
      </c>
      <c r="H247" t="s">
        <v>878</v>
      </c>
    </row>
    <row r="248" spans="1:8">
      <c r="A248">
        <v>95869</v>
      </c>
      <c r="B248">
        <v>797</v>
      </c>
      <c r="C248">
        <v>7.3712216144333293</v>
      </c>
      <c r="D248" s="243" t="s">
        <v>908</v>
      </c>
      <c r="E248">
        <v>-99</v>
      </c>
      <c r="F248" t="s">
        <v>909</v>
      </c>
      <c r="G248" t="s">
        <v>910</v>
      </c>
      <c r="H248" t="s">
        <v>878</v>
      </c>
    </row>
    <row r="249" spans="1:8">
      <c r="A249">
        <v>95869</v>
      </c>
      <c r="B249">
        <v>2668</v>
      </c>
      <c r="C249">
        <v>0.30853211832054628</v>
      </c>
      <c r="D249" s="243" t="s">
        <v>908</v>
      </c>
      <c r="E249">
        <v>-99</v>
      </c>
      <c r="F249" t="s">
        <v>909</v>
      </c>
      <c r="G249" t="s">
        <v>676</v>
      </c>
      <c r="H249" t="s">
        <v>878</v>
      </c>
    </row>
    <row r="250" spans="1:8">
      <c r="A250">
        <v>95869</v>
      </c>
      <c r="B250">
        <v>2669</v>
      </c>
      <c r="C250">
        <v>41.636906308553044</v>
      </c>
      <c r="D250" s="243" t="s">
        <v>908</v>
      </c>
      <c r="E250">
        <v>-99</v>
      </c>
      <c r="F250" t="s">
        <v>909</v>
      </c>
      <c r="G250" t="s">
        <v>676</v>
      </c>
      <c r="H250" t="s">
        <v>878</v>
      </c>
    </row>
    <row r="251" spans="1:8">
      <c r="A251">
        <v>95869</v>
      </c>
      <c r="B251">
        <v>2670</v>
      </c>
      <c r="C251">
        <v>0.10442891436712029</v>
      </c>
      <c r="D251" s="243" t="s">
        <v>908</v>
      </c>
      <c r="E251">
        <v>-99</v>
      </c>
      <c r="F251" t="s">
        <v>909</v>
      </c>
      <c r="G251" t="s">
        <v>676</v>
      </c>
      <c r="H251" t="s">
        <v>878</v>
      </c>
    </row>
    <row r="252" spans="1:8">
      <c r="A252">
        <v>95870</v>
      </c>
      <c r="B252">
        <v>296</v>
      </c>
      <c r="C252">
        <v>1.7041404497183264E-3</v>
      </c>
      <c r="D252" s="243" t="s">
        <v>908</v>
      </c>
      <c r="E252">
        <v>-99</v>
      </c>
      <c r="F252" t="s">
        <v>909</v>
      </c>
      <c r="G252" t="s">
        <v>604</v>
      </c>
      <c r="H252" t="s">
        <v>878</v>
      </c>
    </row>
    <row r="253" spans="1:8">
      <c r="A253">
        <v>95870</v>
      </c>
      <c r="B253">
        <v>298</v>
      </c>
      <c r="C253">
        <v>1.109986482126685E-4</v>
      </c>
      <c r="D253" s="243" t="s">
        <v>908</v>
      </c>
      <c r="E253">
        <v>-99</v>
      </c>
      <c r="F253" t="s">
        <v>909</v>
      </c>
      <c r="G253" t="s">
        <v>604</v>
      </c>
      <c r="H253" t="s">
        <v>878</v>
      </c>
    </row>
    <row r="254" spans="1:8">
      <c r="A254">
        <v>95870</v>
      </c>
      <c r="B254">
        <v>300</v>
      </c>
      <c r="C254">
        <v>1.4025362739954229E-3</v>
      </c>
      <c r="D254" s="243" t="s">
        <v>908</v>
      </c>
      <c r="E254">
        <v>-99</v>
      </c>
      <c r="F254" t="s">
        <v>909</v>
      </c>
      <c r="G254" t="s">
        <v>604</v>
      </c>
      <c r="H254" t="s">
        <v>878</v>
      </c>
    </row>
    <row r="255" spans="1:8">
      <c r="A255">
        <v>95870</v>
      </c>
      <c r="B255">
        <v>328</v>
      </c>
      <c r="C255">
        <v>6.5544323700056258E-3</v>
      </c>
      <c r="D255" s="243" t="s">
        <v>908</v>
      </c>
      <c r="E255">
        <v>-99</v>
      </c>
      <c r="F255" t="s">
        <v>909</v>
      </c>
      <c r="G255" t="s">
        <v>604</v>
      </c>
      <c r="H255" t="s">
        <v>878</v>
      </c>
    </row>
    <row r="256" spans="1:8">
      <c r="A256">
        <v>95870</v>
      </c>
      <c r="B256">
        <v>329</v>
      </c>
      <c r="C256">
        <v>5.623807067782937E-2</v>
      </c>
      <c r="D256" s="243" t="s">
        <v>908</v>
      </c>
      <c r="E256">
        <v>-99</v>
      </c>
      <c r="F256" t="s">
        <v>909</v>
      </c>
      <c r="G256" t="s">
        <v>604</v>
      </c>
      <c r="H256" t="s">
        <v>878</v>
      </c>
    </row>
    <row r="257" spans="1:8">
      <c r="A257">
        <v>95870</v>
      </c>
      <c r="B257">
        <v>347</v>
      </c>
      <c r="C257">
        <v>7.6326232491148163E-3</v>
      </c>
      <c r="D257" s="243" t="s">
        <v>908</v>
      </c>
      <c r="E257">
        <v>-99</v>
      </c>
      <c r="F257" t="s">
        <v>909</v>
      </c>
      <c r="G257" t="s">
        <v>604</v>
      </c>
      <c r="H257" t="s">
        <v>878</v>
      </c>
    </row>
    <row r="258" spans="1:8">
      <c r="A258">
        <v>95870</v>
      </c>
      <c r="B258">
        <v>379</v>
      </c>
      <c r="C258">
        <v>2.1851633110985086E-4</v>
      </c>
      <c r="D258" s="243" t="s">
        <v>908</v>
      </c>
      <c r="E258">
        <v>-99</v>
      </c>
      <c r="F258" t="s">
        <v>909</v>
      </c>
      <c r="G258" t="s">
        <v>604</v>
      </c>
      <c r="H258" t="s">
        <v>878</v>
      </c>
    </row>
    <row r="259" spans="1:8">
      <c r="A259">
        <v>95870</v>
      </c>
      <c r="B259">
        <v>380</v>
      </c>
      <c r="C259">
        <v>1.0024850731748137E-4</v>
      </c>
      <c r="D259" s="243" t="s">
        <v>908</v>
      </c>
      <c r="E259">
        <v>-99</v>
      </c>
      <c r="F259" t="s">
        <v>909</v>
      </c>
      <c r="G259" t="s">
        <v>604</v>
      </c>
      <c r="H259" t="s">
        <v>878</v>
      </c>
    </row>
    <row r="260" spans="1:8">
      <c r="A260">
        <v>95870</v>
      </c>
      <c r="B260">
        <v>468</v>
      </c>
      <c r="C260">
        <v>7.3729418775066245E-5</v>
      </c>
      <c r="D260" s="243" t="s">
        <v>908</v>
      </c>
      <c r="E260">
        <v>-99</v>
      </c>
      <c r="F260" t="s">
        <v>909</v>
      </c>
      <c r="G260" t="s">
        <v>604</v>
      </c>
      <c r="H260" t="s">
        <v>878</v>
      </c>
    </row>
    <row r="261" spans="1:8">
      <c r="A261">
        <v>95870</v>
      </c>
      <c r="B261">
        <v>487</v>
      </c>
      <c r="C261">
        <v>8.6836625585628748E-3</v>
      </c>
      <c r="D261" s="243" t="s">
        <v>908</v>
      </c>
      <c r="E261">
        <v>-99</v>
      </c>
      <c r="F261" t="s">
        <v>909</v>
      </c>
      <c r="G261" t="s">
        <v>604</v>
      </c>
      <c r="H261" t="s">
        <v>878</v>
      </c>
    </row>
    <row r="262" spans="1:8">
      <c r="A262">
        <v>95870</v>
      </c>
      <c r="B262">
        <v>488</v>
      </c>
      <c r="C262">
        <v>2.2883101802872011E-2</v>
      </c>
      <c r="D262" s="243" t="s">
        <v>908</v>
      </c>
      <c r="E262">
        <v>-99</v>
      </c>
      <c r="F262" t="s">
        <v>909</v>
      </c>
      <c r="G262" t="s">
        <v>604</v>
      </c>
      <c r="H262" t="s">
        <v>878</v>
      </c>
    </row>
    <row r="263" spans="1:8">
      <c r="A263">
        <v>95870</v>
      </c>
      <c r="B263">
        <v>519</v>
      </c>
      <c r="C263">
        <v>9.8122250688818455E-4</v>
      </c>
      <c r="D263" s="243" t="s">
        <v>908</v>
      </c>
      <c r="E263">
        <v>-99</v>
      </c>
      <c r="F263" t="s">
        <v>909</v>
      </c>
      <c r="G263" t="s">
        <v>604</v>
      </c>
      <c r="H263" t="s">
        <v>878</v>
      </c>
    </row>
    <row r="264" spans="1:8">
      <c r="A264">
        <v>95870</v>
      </c>
      <c r="B264">
        <v>520</v>
      </c>
      <c r="C264">
        <v>1.2699060018106698E-3</v>
      </c>
      <c r="D264" s="243" t="s">
        <v>908</v>
      </c>
      <c r="E264">
        <v>-99</v>
      </c>
      <c r="F264" t="s">
        <v>909</v>
      </c>
      <c r="G264" t="s">
        <v>604</v>
      </c>
      <c r="H264" t="s">
        <v>878</v>
      </c>
    </row>
    <row r="265" spans="1:8">
      <c r="A265">
        <v>95870</v>
      </c>
      <c r="B265">
        <v>525</v>
      </c>
      <c r="C265">
        <v>5.0980343592811174E-3</v>
      </c>
      <c r="D265" s="243" t="s">
        <v>908</v>
      </c>
      <c r="E265">
        <v>-99</v>
      </c>
      <c r="F265" t="s">
        <v>909</v>
      </c>
      <c r="G265" t="s">
        <v>604</v>
      </c>
      <c r="H265" t="s">
        <v>878</v>
      </c>
    </row>
    <row r="266" spans="1:8">
      <c r="A266">
        <v>95870</v>
      </c>
      <c r="B266">
        <v>526</v>
      </c>
      <c r="C266">
        <v>1.4804075918652395E-3</v>
      </c>
      <c r="D266" s="243" t="s">
        <v>908</v>
      </c>
      <c r="E266">
        <v>-99</v>
      </c>
      <c r="F266" t="s">
        <v>909</v>
      </c>
      <c r="G266" t="s">
        <v>604</v>
      </c>
      <c r="H266" t="s">
        <v>878</v>
      </c>
    </row>
    <row r="267" spans="1:8">
      <c r="A267">
        <v>95870</v>
      </c>
      <c r="B267">
        <v>528</v>
      </c>
      <c r="C267">
        <v>8.1186452234297229E-4</v>
      </c>
      <c r="D267" s="243" t="s">
        <v>908</v>
      </c>
      <c r="E267">
        <v>-99</v>
      </c>
      <c r="F267" t="s">
        <v>909</v>
      </c>
      <c r="G267" t="s">
        <v>604</v>
      </c>
      <c r="H267" t="s">
        <v>878</v>
      </c>
    </row>
    <row r="268" spans="1:8">
      <c r="A268">
        <v>95870</v>
      </c>
      <c r="B268">
        <v>586</v>
      </c>
      <c r="C268">
        <v>2.1034543308607798E-4</v>
      </c>
      <c r="D268" s="243" t="s">
        <v>908</v>
      </c>
      <c r="E268">
        <v>-99</v>
      </c>
      <c r="F268" t="s">
        <v>909</v>
      </c>
      <c r="G268" t="s">
        <v>604</v>
      </c>
      <c r="H268" t="s">
        <v>878</v>
      </c>
    </row>
    <row r="269" spans="1:8">
      <c r="A269">
        <v>95870</v>
      </c>
      <c r="B269">
        <v>612</v>
      </c>
      <c r="C269">
        <v>1.3524612080921671E-3</v>
      </c>
      <c r="D269" s="243" t="s">
        <v>908</v>
      </c>
      <c r="E269">
        <v>-99</v>
      </c>
      <c r="F269" t="s">
        <v>909</v>
      </c>
      <c r="G269" t="s">
        <v>604</v>
      </c>
      <c r="H269" t="s">
        <v>878</v>
      </c>
    </row>
    <row r="270" spans="1:8">
      <c r="A270">
        <v>95870</v>
      </c>
      <c r="B270">
        <v>626</v>
      </c>
      <c r="C270">
        <v>52.847269027886433</v>
      </c>
      <c r="D270" s="243" t="s">
        <v>908</v>
      </c>
      <c r="E270">
        <v>-99</v>
      </c>
      <c r="F270" t="s">
        <v>909</v>
      </c>
      <c r="G270" t="s">
        <v>910</v>
      </c>
      <c r="H270" t="s">
        <v>878</v>
      </c>
    </row>
    <row r="271" spans="1:8">
      <c r="A271">
        <v>95870</v>
      </c>
      <c r="B271">
        <v>649</v>
      </c>
      <c r="C271">
        <v>1.5416999874900961E-3</v>
      </c>
      <c r="D271" s="243" t="s">
        <v>908</v>
      </c>
      <c r="E271">
        <v>-99</v>
      </c>
      <c r="F271" t="s">
        <v>909</v>
      </c>
      <c r="G271" t="s">
        <v>604</v>
      </c>
      <c r="H271" t="s">
        <v>878</v>
      </c>
    </row>
    <row r="272" spans="1:8">
      <c r="A272">
        <v>95870</v>
      </c>
      <c r="B272">
        <v>666</v>
      </c>
      <c r="C272">
        <v>1.5207847989004734E-3</v>
      </c>
      <c r="D272" s="243" t="s">
        <v>908</v>
      </c>
      <c r="E272">
        <v>-99</v>
      </c>
      <c r="F272" t="s">
        <v>909</v>
      </c>
      <c r="G272" t="s">
        <v>604</v>
      </c>
      <c r="H272" t="s">
        <v>878</v>
      </c>
    </row>
    <row r="273" spans="1:8">
      <c r="A273">
        <v>95870</v>
      </c>
      <c r="B273">
        <v>669</v>
      </c>
      <c r="C273">
        <v>0.25354247582601386</v>
      </c>
      <c r="D273" s="243" t="s">
        <v>908</v>
      </c>
      <c r="E273">
        <v>-99</v>
      </c>
      <c r="F273" t="s">
        <v>909</v>
      </c>
      <c r="G273" t="s">
        <v>604</v>
      </c>
      <c r="H273" t="s">
        <v>878</v>
      </c>
    </row>
    <row r="274" spans="1:8">
      <c r="A274">
        <v>95870</v>
      </c>
      <c r="B274">
        <v>689</v>
      </c>
      <c r="C274">
        <v>2.2986394209339087E-4</v>
      </c>
      <c r="D274" s="243" t="s">
        <v>908</v>
      </c>
      <c r="E274">
        <v>-99</v>
      </c>
      <c r="F274" t="s">
        <v>909</v>
      </c>
      <c r="G274" t="s">
        <v>604</v>
      </c>
      <c r="H274" t="s">
        <v>878</v>
      </c>
    </row>
    <row r="275" spans="1:8">
      <c r="A275">
        <v>95870</v>
      </c>
      <c r="B275">
        <v>693</v>
      </c>
      <c r="C275">
        <v>2.2289969657227003E-4</v>
      </c>
      <c r="D275" s="243" t="s">
        <v>908</v>
      </c>
      <c r="E275">
        <v>-99</v>
      </c>
      <c r="F275" t="s">
        <v>909</v>
      </c>
      <c r="G275" t="s">
        <v>604</v>
      </c>
      <c r="H275" t="s">
        <v>878</v>
      </c>
    </row>
    <row r="276" spans="1:8">
      <c r="A276">
        <v>95870</v>
      </c>
      <c r="B276">
        <v>694</v>
      </c>
      <c r="C276">
        <v>2.6435035628098378E-2</v>
      </c>
      <c r="D276" s="243" t="s">
        <v>908</v>
      </c>
      <c r="E276">
        <v>-99</v>
      </c>
      <c r="F276" t="s">
        <v>909</v>
      </c>
      <c r="G276" t="s">
        <v>604</v>
      </c>
      <c r="H276" t="s">
        <v>878</v>
      </c>
    </row>
    <row r="277" spans="1:8">
      <c r="A277">
        <v>95870</v>
      </c>
      <c r="B277">
        <v>695</v>
      </c>
      <c r="C277">
        <v>9.7204664930941327E-4</v>
      </c>
      <c r="D277" s="243" t="s">
        <v>908</v>
      </c>
      <c r="E277">
        <v>-99</v>
      </c>
      <c r="F277" t="s">
        <v>909</v>
      </c>
      <c r="G277" t="s">
        <v>604</v>
      </c>
      <c r="H277" t="s">
        <v>878</v>
      </c>
    </row>
    <row r="278" spans="1:8">
      <c r="A278">
        <v>95870</v>
      </c>
      <c r="B278">
        <v>696</v>
      </c>
      <c r="C278">
        <v>4.5669553999341937E-2</v>
      </c>
      <c r="D278" s="243" t="s">
        <v>908</v>
      </c>
      <c r="E278">
        <v>-99</v>
      </c>
      <c r="F278" t="s">
        <v>909</v>
      </c>
      <c r="G278" t="s">
        <v>604</v>
      </c>
      <c r="H278" t="s">
        <v>878</v>
      </c>
    </row>
    <row r="279" spans="1:8">
      <c r="A279">
        <v>95870</v>
      </c>
      <c r="B279">
        <v>697</v>
      </c>
      <c r="C279">
        <v>1.0621253761462397E-4</v>
      </c>
      <c r="D279" s="243" t="s">
        <v>908</v>
      </c>
      <c r="E279">
        <v>-99</v>
      </c>
      <c r="F279" t="s">
        <v>909</v>
      </c>
      <c r="G279" t="s">
        <v>604</v>
      </c>
      <c r="H279" t="s">
        <v>878</v>
      </c>
    </row>
    <row r="280" spans="1:8">
      <c r="A280">
        <v>95870</v>
      </c>
      <c r="B280">
        <v>699</v>
      </c>
      <c r="C280">
        <v>0.41765151429705794</v>
      </c>
      <c r="D280" s="243" t="s">
        <v>908</v>
      </c>
      <c r="E280">
        <v>-99</v>
      </c>
      <c r="F280" t="s">
        <v>909</v>
      </c>
      <c r="G280" t="s">
        <v>676</v>
      </c>
      <c r="H280" t="s">
        <v>878</v>
      </c>
    </row>
    <row r="281" spans="1:8">
      <c r="A281">
        <v>95870</v>
      </c>
      <c r="B281">
        <v>714</v>
      </c>
      <c r="C281">
        <v>1.0290359170664449E-2</v>
      </c>
      <c r="D281" s="243" t="s">
        <v>908</v>
      </c>
      <c r="E281">
        <v>-99</v>
      </c>
      <c r="F281" t="s">
        <v>909</v>
      </c>
      <c r="G281" t="s">
        <v>604</v>
      </c>
      <c r="H281" t="s">
        <v>878</v>
      </c>
    </row>
    <row r="282" spans="1:8">
      <c r="A282">
        <v>95870</v>
      </c>
      <c r="B282">
        <v>715</v>
      </c>
      <c r="C282">
        <v>1.4873872354125637E-3</v>
      </c>
      <c r="D282" s="243" t="s">
        <v>908</v>
      </c>
      <c r="E282">
        <v>-99</v>
      </c>
      <c r="F282" t="s">
        <v>909</v>
      </c>
      <c r="G282" t="s">
        <v>604</v>
      </c>
      <c r="H282" t="s">
        <v>878</v>
      </c>
    </row>
    <row r="283" spans="1:8">
      <c r="A283">
        <v>95870</v>
      </c>
      <c r="B283">
        <v>767</v>
      </c>
      <c r="C283">
        <v>1.5405850372283986E-4</v>
      </c>
      <c r="D283" s="243" t="s">
        <v>908</v>
      </c>
      <c r="E283">
        <v>-99</v>
      </c>
      <c r="F283" t="s">
        <v>909</v>
      </c>
      <c r="G283" t="s">
        <v>604</v>
      </c>
      <c r="H283" t="s">
        <v>878</v>
      </c>
    </row>
    <row r="284" spans="1:8">
      <c r="A284">
        <v>95870</v>
      </c>
      <c r="B284">
        <v>778</v>
      </c>
      <c r="C284">
        <v>4.5448237316456433E-2</v>
      </c>
      <c r="D284" s="243" t="s">
        <v>908</v>
      </c>
      <c r="E284">
        <v>-99</v>
      </c>
      <c r="F284" t="s">
        <v>909</v>
      </c>
      <c r="G284" t="s">
        <v>604</v>
      </c>
      <c r="H284" t="s">
        <v>878</v>
      </c>
    </row>
    <row r="285" spans="1:8">
      <c r="A285">
        <v>95870</v>
      </c>
      <c r="B285">
        <v>779</v>
      </c>
      <c r="C285">
        <v>9.2685768101443908E-4</v>
      </c>
      <c r="D285" s="243" t="s">
        <v>908</v>
      </c>
      <c r="E285">
        <v>-99</v>
      </c>
      <c r="F285" t="s">
        <v>909</v>
      </c>
      <c r="G285" t="s">
        <v>604</v>
      </c>
      <c r="H285" t="s">
        <v>878</v>
      </c>
    </row>
    <row r="286" spans="1:8">
      <c r="A286">
        <v>95870</v>
      </c>
      <c r="B286">
        <v>795</v>
      </c>
      <c r="C286">
        <v>0.18392906763005204</v>
      </c>
      <c r="D286" s="243" t="s">
        <v>908</v>
      </c>
      <c r="E286">
        <v>-99</v>
      </c>
      <c r="F286" t="s">
        <v>909</v>
      </c>
      <c r="G286" t="s">
        <v>604</v>
      </c>
      <c r="H286" t="s">
        <v>878</v>
      </c>
    </row>
    <row r="287" spans="1:8">
      <c r="A287">
        <v>95870</v>
      </c>
      <c r="B287">
        <v>797</v>
      </c>
      <c r="C287">
        <v>5.7000219134407466</v>
      </c>
      <c r="D287" s="243" t="s">
        <v>908</v>
      </c>
      <c r="E287">
        <v>-99</v>
      </c>
      <c r="F287" t="s">
        <v>909</v>
      </c>
      <c r="G287" t="s">
        <v>910</v>
      </c>
      <c r="H287" t="s">
        <v>878</v>
      </c>
    </row>
    <row r="288" spans="1:8">
      <c r="A288">
        <v>95870</v>
      </c>
      <c r="B288">
        <v>2668</v>
      </c>
      <c r="C288">
        <v>0.1002363634312939</v>
      </c>
      <c r="D288" s="243" t="s">
        <v>908</v>
      </c>
      <c r="E288">
        <v>-99</v>
      </c>
      <c r="F288" t="s">
        <v>909</v>
      </c>
      <c r="G288" t="s">
        <v>676</v>
      </c>
      <c r="H288" t="s">
        <v>878</v>
      </c>
    </row>
    <row r="289" spans="1:8">
      <c r="A289">
        <v>95870</v>
      </c>
      <c r="B289">
        <v>2669</v>
      </c>
      <c r="C289">
        <v>40.201070195546841</v>
      </c>
      <c r="D289" s="243" t="s">
        <v>908</v>
      </c>
      <c r="E289">
        <v>-99</v>
      </c>
      <c r="F289" t="s">
        <v>909</v>
      </c>
      <c r="G289" t="s">
        <v>676</v>
      </c>
      <c r="H289" t="s">
        <v>878</v>
      </c>
    </row>
    <row r="290" spans="1:8">
      <c r="A290">
        <v>95870</v>
      </c>
      <c r="B290">
        <v>2670</v>
      </c>
      <c r="C290">
        <v>4.4445821689322831E-2</v>
      </c>
      <c r="D290" s="243" t="s">
        <v>908</v>
      </c>
      <c r="E290">
        <v>-99</v>
      </c>
      <c r="F290" t="s">
        <v>909</v>
      </c>
      <c r="G290" t="s">
        <v>676</v>
      </c>
      <c r="H290" t="s">
        <v>878</v>
      </c>
    </row>
    <row r="291" spans="1:8">
      <c r="A291">
        <v>95871</v>
      </c>
      <c r="B291">
        <v>296</v>
      </c>
      <c r="C291">
        <v>1.0937353476165297E-2</v>
      </c>
      <c r="D291" s="243" t="s">
        <v>908</v>
      </c>
      <c r="E291">
        <v>-99</v>
      </c>
      <c r="F291" t="s">
        <v>909</v>
      </c>
      <c r="G291" t="s">
        <v>604</v>
      </c>
      <c r="H291" t="s">
        <v>878</v>
      </c>
    </row>
    <row r="292" spans="1:8">
      <c r="A292">
        <v>95871</v>
      </c>
      <c r="B292">
        <v>298</v>
      </c>
      <c r="C292">
        <v>4.9605752191306349E-6</v>
      </c>
      <c r="D292" s="243" t="s">
        <v>908</v>
      </c>
      <c r="E292">
        <v>-99</v>
      </c>
      <c r="F292" t="s">
        <v>909</v>
      </c>
      <c r="G292" t="s">
        <v>604</v>
      </c>
      <c r="H292" t="s">
        <v>878</v>
      </c>
    </row>
    <row r="293" spans="1:8">
      <c r="A293">
        <v>95871</v>
      </c>
      <c r="B293">
        <v>300</v>
      </c>
      <c r="C293">
        <v>4.1820238876220852E-4</v>
      </c>
      <c r="D293" s="243" t="s">
        <v>908</v>
      </c>
      <c r="E293">
        <v>-99</v>
      </c>
      <c r="F293" t="s">
        <v>909</v>
      </c>
      <c r="G293" t="s">
        <v>604</v>
      </c>
      <c r="H293" t="s">
        <v>878</v>
      </c>
    </row>
    <row r="294" spans="1:8">
      <c r="A294">
        <v>95871</v>
      </c>
      <c r="B294">
        <v>328</v>
      </c>
      <c r="C294">
        <v>6.0013563910432353E-3</v>
      </c>
      <c r="D294" s="243" t="s">
        <v>908</v>
      </c>
      <c r="E294">
        <v>-99</v>
      </c>
      <c r="F294" t="s">
        <v>909</v>
      </c>
      <c r="G294" t="s">
        <v>604</v>
      </c>
      <c r="H294" t="s">
        <v>878</v>
      </c>
    </row>
    <row r="295" spans="1:8">
      <c r="A295">
        <v>95871</v>
      </c>
      <c r="B295">
        <v>329</v>
      </c>
      <c r="C295">
        <v>2.4024198305859244E-2</v>
      </c>
      <c r="D295" s="243" t="s">
        <v>908</v>
      </c>
      <c r="E295">
        <v>-99</v>
      </c>
      <c r="F295" t="s">
        <v>909</v>
      </c>
      <c r="G295" t="s">
        <v>604</v>
      </c>
      <c r="H295" t="s">
        <v>878</v>
      </c>
    </row>
    <row r="296" spans="1:8">
      <c r="A296">
        <v>95871</v>
      </c>
      <c r="B296">
        <v>347</v>
      </c>
      <c r="C296">
        <v>6.1996409482099682E-2</v>
      </c>
      <c r="D296" s="243" t="s">
        <v>908</v>
      </c>
      <c r="E296">
        <v>-99</v>
      </c>
      <c r="F296" t="s">
        <v>909</v>
      </c>
      <c r="G296" t="s">
        <v>604</v>
      </c>
      <c r="H296" t="s">
        <v>878</v>
      </c>
    </row>
    <row r="297" spans="1:8">
      <c r="A297">
        <v>95871</v>
      </c>
      <c r="B297">
        <v>379</v>
      </c>
      <c r="C297">
        <v>1.1403832221442449E-5</v>
      </c>
      <c r="D297" s="243" t="s">
        <v>908</v>
      </c>
      <c r="E297">
        <v>-99</v>
      </c>
      <c r="F297" t="s">
        <v>909</v>
      </c>
      <c r="G297" t="s">
        <v>604</v>
      </c>
      <c r="H297" t="s">
        <v>878</v>
      </c>
    </row>
    <row r="298" spans="1:8">
      <c r="A298">
        <v>95871</v>
      </c>
      <c r="B298">
        <v>380</v>
      </c>
      <c r="C298">
        <v>9.7608536354007707E-4</v>
      </c>
      <c r="D298" s="243" t="s">
        <v>908</v>
      </c>
      <c r="E298">
        <v>-99</v>
      </c>
      <c r="F298" t="s">
        <v>909</v>
      </c>
      <c r="G298" t="s">
        <v>604</v>
      </c>
      <c r="H298" t="s">
        <v>878</v>
      </c>
    </row>
    <row r="299" spans="1:8">
      <c r="A299">
        <v>95871</v>
      </c>
      <c r="B299">
        <v>468</v>
      </c>
      <c r="C299">
        <v>4.0387564764387955E-6</v>
      </c>
      <c r="D299" s="243" t="s">
        <v>908</v>
      </c>
      <c r="E299">
        <v>-99</v>
      </c>
      <c r="F299" t="s">
        <v>909</v>
      </c>
      <c r="G299" t="s">
        <v>604</v>
      </c>
      <c r="H299" t="s">
        <v>878</v>
      </c>
    </row>
    <row r="300" spans="1:8">
      <c r="A300">
        <v>95871</v>
      </c>
      <c r="B300">
        <v>487</v>
      </c>
      <c r="C300">
        <v>2.5181961542588257E-3</v>
      </c>
      <c r="D300" s="243" t="s">
        <v>908</v>
      </c>
      <c r="E300">
        <v>-99</v>
      </c>
      <c r="F300" t="s">
        <v>909</v>
      </c>
      <c r="G300" t="s">
        <v>604</v>
      </c>
      <c r="H300" t="s">
        <v>878</v>
      </c>
    </row>
    <row r="301" spans="1:8">
      <c r="A301">
        <v>95871</v>
      </c>
      <c r="B301">
        <v>488</v>
      </c>
      <c r="C301">
        <v>9.8854200263315591E-3</v>
      </c>
      <c r="D301" s="243" t="s">
        <v>908</v>
      </c>
      <c r="E301">
        <v>-99</v>
      </c>
      <c r="F301" t="s">
        <v>909</v>
      </c>
      <c r="G301" t="s">
        <v>604</v>
      </c>
      <c r="H301" t="s">
        <v>878</v>
      </c>
    </row>
    <row r="302" spans="1:8">
      <c r="A302">
        <v>95871</v>
      </c>
      <c r="B302">
        <v>519</v>
      </c>
      <c r="C302">
        <v>4.2077642170409936E-4</v>
      </c>
      <c r="D302" s="243" t="s">
        <v>908</v>
      </c>
      <c r="E302">
        <v>-99</v>
      </c>
      <c r="F302" t="s">
        <v>909</v>
      </c>
      <c r="G302" t="s">
        <v>604</v>
      </c>
      <c r="H302" t="s">
        <v>878</v>
      </c>
    </row>
    <row r="303" spans="1:8">
      <c r="A303">
        <v>95871</v>
      </c>
      <c r="B303">
        <v>520</v>
      </c>
      <c r="C303">
        <v>1.1332859560420426E-3</v>
      </c>
      <c r="D303" s="243" t="s">
        <v>908</v>
      </c>
      <c r="E303">
        <v>-99</v>
      </c>
      <c r="F303" t="s">
        <v>909</v>
      </c>
      <c r="G303" t="s">
        <v>604</v>
      </c>
      <c r="H303" t="s">
        <v>878</v>
      </c>
    </row>
    <row r="304" spans="1:8">
      <c r="A304">
        <v>95871</v>
      </c>
      <c r="B304">
        <v>525</v>
      </c>
      <c r="C304">
        <v>1.4014731275963952E-2</v>
      </c>
      <c r="D304" s="243" t="s">
        <v>908</v>
      </c>
      <c r="E304">
        <v>-99</v>
      </c>
      <c r="F304" t="s">
        <v>909</v>
      </c>
      <c r="G304" t="s">
        <v>604</v>
      </c>
      <c r="H304" t="s">
        <v>878</v>
      </c>
    </row>
    <row r="305" spans="1:8">
      <c r="A305">
        <v>95871</v>
      </c>
      <c r="B305">
        <v>526</v>
      </c>
      <c r="C305">
        <v>4.6628325231298339E-4</v>
      </c>
      <c r="D305" s="243" t="s">
        <v>908</v>
      </c>
      <c r="E305">
        <v>-99</v>
      </c>
      <c r="F305" t="s">
        <v>909</v>
      </c>
      <c r="G305" t="s">
        <v>604</v>
      </c>
      <c r="H305" t="s">
        <v>878</v>
      </c>
    </row>
    <row r="306" spans="1:8">
      <c r="A306">
        <v>95871</v>
      </c>
      <c r="B306">
        <v>528</v>
      </c>
      <c r="C306">
        <v>3.4837491366360824E-4</v>
      </c>
      <c r="D306" s="243" t="s">
        <v>908</v>
      </c>
      <c r="E306">
        <v>-99</v>
      </c>
      <c r="F306" t="s">
        <v>909</v>
      </c>
      <c r="G306" t="s">
        <v>604</v>
      </c>
      <c r="H306" t="s">
        <v>878</v>
      </c>
    </row>
    <row r="307" spans="1:8">
      <c r="A307">
        <v>95871</v>
      </c>
      <c r="B307">
        <v>586</v>
      </c>
      <c r="C307">
        <v>7.2845972971979402E-4</v>
      </c>
      <c r="D307" s="243" t="s">
        <v>908</v>
      </c>
      <c r="E307">
        <v>-99</v>
      </c>
      <c r="F307" t="s">
        <v>909</v>
      </c>
      <c r="G307" t="s">
        <v>604</v>
      </c>
      <c r="H307" t="s">
        <v>878</v>
      </c>
    </row>
    <row r="308" spans="1:8">
      <c r="A308">
        <v>95871</v>
      </c>
      <c r="B308">
        <v>612</v>
      </c>
      <c r="C308">
        <v>1.1445782095264814E-4</v>
      </c>
      <c r="D308" s="243" t="s">
        <v>908</v>
      </c>
      <c r="E308">
        <v>-99</v>
      </c>
      <c r="F308" t="s">
        <v>909</v>
      </c>
      <c r="G308" t="s">
        <v>604</v>
      </c>
      <c r="H308" t="s">
        <v>878</v>
      </c>
    </row>
    <row r="309" spans="1:8">
      <c r="A309">
        <v>95871</v>
      </c>
      <c r="B309">
        <v>626</v>
      </c>
      <c r="C309">
        <v>45.33277527490808</v>
      </c>
      <c r="D309" s="243" t="s">
        <v>908</v>
      </c>
      <c r="E309">
        <v>-99</v>
      </c>
      <c r="F309" t="s">
        <v>909</v>
      </c>
      <c r="G309" t="s">
        <v>910</v>
      </c>
      <c r="H309" t="s">
        <v>878</v>
      </c>
    </row>
    <row r="310" spans="1:8">
      <c r="A310">
        <v>95871</v>
      </c>
      <c r="B310">
        <v>649</v>
      </c>
      <c r="C310">
        <v>1.0653727050045725E-4</v>
      </c>
      <c r="D310" s="243" t="s">
        <v>908</v>
      </c>
      <c r="E310">
        <v>-99</v>
      </c>
      <c r="F310" t="s">
        <v>909</v>
      </c>
      <c r="G310" t="s">
        <v>604</v>
      </c>
      <c r="H310" t="s">
        <v>878</v>
      </c>
    </row>
    <row r="311" spans="1:8">
      <c r="A311">
        <v>95871</v>
      </c>
      <c r="B311">
        <v>666</v>
      </c>
      <c r="C311">
        <v>2.5788949195260824E-3</v>
      </c>
      <c r="D311" s="243" t="s">
        <v>908</v>
      </c>
      <c r="E311">
        <v>-99</v>
      </c>
      <c r="F311" t="s">
        <v>909</v>
      </c>
      <c r="G311" t="s">
        <v>604</v>
      </c>
      <c r="H311" t="s">
        <v>878</v>
      </c>
    </row>
    <row r="312" spans="1:8">
      <c r="A312">
        <v>95871</v>
      </c>
      <c r="B312">
        <v>669</v>
      </c>
      <c r="C312">
        <v>1.4673277273242917</v>
      </c>
      <c r="D312" s="243" t="s">
        <v>908</v>
      </c>
      <c r="E312">
        <v>-99</v>
      </c>
      <c r="F312" t="s">
        <v>909</v>
      </c>
      <c r="G312" t="s">
        <v>604</v>
      </c>
      <c r="H312" t="s">
        <v>878</v>
      </c>
    </row>
    <row r="313" spans="1:8">
      <c r="A313">
        <v>95871</v>
      </c>
      <c r="B313">
        <v>689</v>
      </c>
      <c r="C313">
        <v>4.773919725766111E-3</v>
      </c>
      <c r="D313" s="243" t="s">
        <v>908</v>
      </c>
      <c r="E313">
        <v>-99</v>
      </c>
      <c r="F313" t="s">
        <v>909</v>
      </c>
      <c r="G313" t="s">
        <v>604</v>
      </c>
      <c r="H313" t="s">
        <v>878</v>
      </c>
    </row>
    <row r="314" spans="1:8">
      <c r="A314">
        <v>95871</v>
      </c>
      <c r="B314">
        <v>693</v>
      </c>
      <c r="C314">
        <v>1.240365261756187E-3</v>
      </c>
      <c r="D314" s="243" t="s">
        <v>908</v>
      </c>
      <c r="E314">
        <v>-99</v>
      </c>
      <c r="F314" t="s">
        <v>909</v>
      </c>
      <c r="G314" t="s">
        <v>604</v>
      </c>
      <c r="H314" t="s">
        <v>878</v>
      </c>
    </row>
    <row r="315" spans="1:8">
      <c r="A315">
        <v>95871</v>
      </c>
      <c r="B315">
        <v>694</v>
      </c>
      <c r="C315">
        <v>0.10168988393714165</v>
      </c>
      <c r="D315" s="243" t="s">
        <v>908</v>
      </c>
      <c r="E315">
        <v>-99</v>
      </c>
      <c r="F315" t="s">
        <v>909</v>
      </c>
      <c r="G315" t="s">
        <v>604</v>
      </c>
      <c r="H315" t="s">
        <v>878</v>
      </c>
    </row>
    <row r="316" spans="1:8">
      <c r="A316">
        <v>95871</v>
      </c>
      <c r="B316">
        <v>695</v>
      </c>
      <c r="C316">
        <v>5.1546629038142855E-3</v>
      </c>
      <c r="D316" s="243" t="s">
        <v>908</v>
      </c>
      <c r="E316">
        <v>-99</v>
      </c>
      <c r="F316" t="s">
        <v>909</v>
      </c>
      <c r="G316" t="s">
        <v>604</v>
      </c>
      <c r="H316" t="s">
        <v>878</v>
      </c>
    </row>
    <row r="317" spans="1:8">
      <c r="A317">
        <v>95871</v>
      </c>
      <c r="B317">
        <v>696</v>
      </c>
      <c r="C317">
        <v>2.1691289032031384E-2</v>
      </c>
      <c r="D317" s="243" t="s">
        <v>908</v>
      </c>
      <c r="E317">
        <v>-99</v>
      </c>
      <c r="F317" t="s">
        <v>909</v>
      </c>
      <c r="G317" t="s">
        <v>604</v>
      </c>
      <c r="H317" t="s">
        <v>878</v>
      </c>
    </row>
    <row r="318" spans="1:8">
      <c r="A318">
        <v>95871</v>
      </c>
      <c r="B318">
        <v>699</v>
      </c>
      <c r="C318">
        <v>1.9064277122446425</v>
      </c>
      <c r="D318" s="243" t="s">
        <v>908</v>
      </c>
      <c r="E318">
        <v>-99</v>
      </c>
      <c r="F318" t="s">
        <v>909</v>
      </c>
      <c r="G318" t="s">
        <v>676</v>
      </c>
      <c r="H318" t="s">
        <v>878</v>
      </c>
    </row>
    <row r="319" spans="1:8">
      <c r="A319">
        <v>95871</v>
      </c>
      <c r="B319">
        <v>714</v>
      </c>
      <c r="C319">
        <v>8.237550887392437E-3</v>
      </c>
      <c r="D319" s="243" t="s">
        <v>908</v>
      </c>
      <c r="E319">
        <v>-99</v>
      </c>
      <c r="F319" t="s">
        <v>909</v>
      </c>
      <c r="G319" t="s">
        <v>604</v>
      </c>
      <c r="H319" t="s">
        <v>878</v>
      </c>
    </row>
    <row r="320" spans="1:8">
      <c r="A320">
        <v>95871</v>
      </c>
      <c r="B320">
        <v>715</v>
      </c>
      <c r="C320">
        <v>6.0843412980856821E-5</v>
      </c>
      <c r="D320" s="243" t="s">
        <v>908</v>
      </c>
      <c r="E320">
        <v>-99</v>
      </c>
      <c r="F320" t="s">
        <v>909</v>
      </c>
      <c r="G320" t="s">
        <v>604</v>
      </c>
      <c r="H320" t="s">
        <v>878</v>
      </c>
    </row>
    <row r="321" spans="1:8">
      <c r="A321">
        <v>95871</v>
      </c>
      <c r="B321">
        <v>767</v>
      </c>
      <c r="C321">
        <v>3.1121671741385468E-4</v>
      </c>
      <c r="D321" s="243" t="s">
        <v>908</v>
      </c>
      <c r="E321">
        <v>-99</v>
      </c>
      <c r="F321" t="s">
        <v>909</v>
      </c>
      <c r="G321" t="s">
        <v>604</v>
      </c>
      <c r="H321" t="s">
        <v>878</v>
      </c>
    </row>
    <row r="322" spans="1:8">
      <c r="A322">
        <v>95871</v>
      </c>
      <c r="B322">
        <v>778</v>
      </c>
      <c r="C322">
        <v>0.1838619494353351</v>
      </c>
      <c r="D322" s="243" t="s">
        <v>908</v>
      </c>
      <c r="E322">
        <v>-99</v>
      </c>
      <c r="F322" t="s">
        <v>909</v>
      </c>
      <c r="G322" t="s">
        <v>604</v>
      </c>
      <c r="H322" t="s">
        <v>878</v>
      </c>
    </row>
    <row r="323" spans="1:8">
      <c r="A323">
        <v>95871</v>
      </c>
      <c r="B323">
        <v>779</v>
      </c>
      <c r="C323">
        <v>1.9569473927112311E-4</v>
      </c>
      <c r="D323" s="243" t="s">
        <v>908</v>
      </c>
      <c r="E323">
        <v>-99</v>
      </c>
      <c r="F323" t="s">
        <v>909</v>
      </c>
      <c r="G323" t="s">
        <v>604</v>
      </c>
      <c r="H323" t="s">
        <v>878</v>
      </c>
    </row>
    <row r="324" spans="1:8">
      <c r="A324">
        <v>95871</v>
      </c>
      <c r="B324">
        <v>795</v>
      </c>
      <c r="C324">
        <v>0.57903965836389559</v>
      </c>
      <c r="D324" s="243" t="s">
        <v>908</v>
      </c>
      <c r="E324">
        <v>-99</v>
      </c>
      <c r="F324" t="s">
        <v>909</v>
      </c>
      <c r="G324" t="s">
        <v>604</v>
      </c>
      <c r="H324" t="s">
        <v>878</v>
      </c>
    </row>
    <row r="325" spans="1:8">
      <c r="A325">
        <v>95871</v>
      </c>
      <c r="B325">
        <v>797</v>
      </c>
      <c r="C325">
        <v>8.5848790613455854</v>
      </c>
      <c r="D325" s="243" t="s">
        <v>908</v>
      </c>
      <c r="E325">
        <v>-99</v>
      </c>
      <c r="F325" t="s">
        <v>909</v>
      </c>
      <c r="G325" t="s">
        <v>910</v>
      </c>
      <c r="H325" t="s">
        <v>878</v>
      </c>
    </row>
    <row r="326" spans="1:8">
      <c r="A326">
        <v>95871</v>
      </c>
      <c r="B326">
        <v>2668</v>
      </c>
      <c r="C326">
        <v>0.45754265093871421</v>
      </c>
      <c r="D326" s="243" t="s">
        <v>908</v>
      </c>
      <c r="E326">
        <v>-99</v>
      </c>
      <c r="F326" t="s">
        <v>909</v>
      </c>
      <c r="G326" t="s">
        <v>676</v>
      </c>
      <c r="H326" t="s">
        <v>878</v>
      </c>
    </row>
    <row r="327" spans="1:8">
      <c r="A327">
        <v>95871</v>
      </c>
      <c r="B327">
        <v>2669</v>
      </c>
      <c r="C327">
        <v>40.981179940957944</v>
      </c>
      <c r="D327" s="243" t="s">
        <v>908</v>
      </c>
      <c r="E327">
        <v>-99</v>
      </c>
      <c r="F327" t="s">
        <v>909</v>
      </c>
      <c r="G327" t="s">
        <v>676</v>
      </c>
      <c r="H327" t="s">
        <v>878</v>
      </c>
    </row>
    <row r="328" spans="1:8">
      <c r="A328">
        <v>95871</v>
      </c>
      <c r="B328">
        <v>2670</v>
      </c>
      <c r="C328">
        <v>0.22692162311274741</v>
      </c>
      <c r="D328" s="243" t="s">
        <v>908</v>
      </c>
      <c r="E328">
        <v>-99</v>
      </c>
      <c r="F328" t="s">
        <v>909</v>
      </c>
      <c r="G328" t="s">
        <v>676</v>
      </c>
      <c r="H328" t="s">
        <v>878</v>
      </c>
    </row>
    <row r="329" spans="1:8">
      <c r="A329">
        <v>95872</v>
      </c>
      <c r="B329">
        <v>292</v>
      </c>
      <c r="C329">
        <v>3.5523876868895495E-4</v>
      </c>
      <c r="D329" s="243" t="s">
        <v>908</v>
      </c>
      <c r="E329">
        <v>-99</v>
      </c>
      <c r="F329" t="s">
        <v>909</v>
      </c>
      <c r="G329" t="s">
        <v>604</v>
      </c>
      <c r="H329" t="s">
        <v>878</v>
      </c>
    </row>
    <row r="330" spans="1:8">
      <c r="A330">
        <v>95872</v>
      </c>
      <c r="B330">
        <v>296</v>
      </c>
      <c r="C330">
        <v>7.2540401322304638E-4</v>
      </c>
      <c r="D330" s="243" t="s">
        <v>908</v>
      </c>
      <c r="E330">
        <v>-99</v>
      </c>
      <c r="F330" t="s">
        <v>909</v>
      </c>
      <c r="G330" t="s">
        <v>604</v>
      </c>
      <c r="H330" t="s">
        <v>878</v>
      </c>
    </row>
    <row r="331" spans="1:8">
      <c r="A331">
        <v>95872</v>
      </c>
      <c r="B331">
        <v>298</v>
      </c>
      <c r="C331">
        <v>6.3638066274706144E-6</v>
      </c>
      <c r="D331" s="243" t="s">
        <v>908</v>
      </c>
      <c r="E331">
        <v>-99</v>
      </c>
      <c r="F331" t="s">
        <v>909</v>
      </c>
      <c r="G331" t="s">
        <v>604</v>
      </c>
      <c r="H331" t="s">
        <v>878</v>
      </c>
    </row>
    <row r="332" spans="1:8">
      <c r="A332">
        <v>95872</v>
      </c>
      <c r="B332">
        <v>300</v>
      </c>
      <c r="C332">
        <v>1.0304934184819617E-3</v>
      </c>
      <c r="D332" s="243" t="s">
        <v>908</v>
      </c>
      <c r="E332">
        <v>-99</v>
      </c>
      <c r="F332" t="s">
        <v>909</v>
      </c>
      <c r="G332" t="s">
        <v>604</v>
      </c>
      <c r="H332" t="s">
        <v>878</v>
      </c>
    </row>
    <row r="333" spans="1:8">
      <c r="A333">
        <v>95872</v>
      </c>
      <c r="B333">
        <v>328</v>
      </c>
      <c r="C333">
        <v>2.385285303154515E-3</v>
      </c>
      <c r="D333" s="243" t="s">
        <v>908</v>
      </c>
      <c r="E333">
        <v>-99</v>
      </c>
      <c r="F333" t="s">
        <v>909</v>
      </c>
      <c r="G333" t="s">
        <v>604</v>
      </c>
      <c r="H333" t="s">
        <v>878</v>
      </c>
    </row>
    <row r="334" spans="1:8">
      <c r="A334">
        <v>95872</v>
      </c>
      <c r="B334">
        <v>329</v>
      </c>
      <c r="C334">
        <v>4.3209127105098513E-2</v>
      </c>
      <c r="D334" s="243" t="s">
        <v>908</v>
      </c>
      <c r="E334">
        <v>-99</v>
      </c>
      <c r="F334" t="s">
        <v>909</v>
      </c>
      <c r="G334" t="s">
        <v>604</v>
      </c>
      <c r="H334" t="s">
        <v>878</v>
      </c>
    </row>
    <row r="335" spans="1:8">
      <c r="A335">
        <v>95872</v>
      </c>
      <c r="B335">
        <v>347</v>
      </c>
      <c r="C335">
        <v>8.3962938090547529E-4</v>
      </c>
      <c r="D335" s="243" t="s">
        <v>908</v>
      </c>
      <c r="E335">
        <v>-99</v>
      </c>
      <c r="F335" t="s">
        <v>909</v>
      </c>
      <c r="G335" t="s">
        <v>604</v>
      </c>
      <c r="H335" t="s">
        <v>878</v>
      </c>
    </row>
    <row r="336" spans="1:8">
      <c r="A336">
        <v>95872</v>
      </c>
      <c r="B336">
        <v>379</v>
      </c>
      <c r="C336">
        <v>1.0265699683466482E-5</v>
      </c>
      <c r="D336" s="243" t="s">
        <v>908</v>
      </c>
      <c r="E336">
        <v>-99</v>
      </c>
      <c r="F336" t="s">
        <v>909</v>
      </c>
      <c r="G336" t="s">
        <v>604</v>
      </c>
      <c r="H336" t="s">
        <v>878</v>
      </c>
    </row>
    <row r="337" spans="1:8">
      <c r="A337">
        <v>95872</v>
      </c>
      <c r="B337">
        <v>380</v>
      </c>
      <c r="C337">
        <v>2.4584002462911363E-4</v>
      </c>
      <c r="D337" s="243" t="s">
        <v>908</v>
      </c>
      <c r="E337">
        <v>-99</v>
      </c>
      <c r="F337" t="s">
        <v>909</v>
      </c>
      <c r="G337" t="s">
        <v>604</v>
      </c>
      <c r="H337" t="s">
        <v>878</v>
      </c>
    </row>
    <row r="338" spans="1:8">
      <c r="A338">
        <v>95872</v>
      </c>
      <c r="B338">
        <v>468</v>
      </c>
      <c r="C338">
        <v>3.1999813867114563E-6</v>
      </c>
      <c r="D338" s="243" t="s">
        <v>908</v>
      </c>
      <c r="E338">
        <v>-99</v>
      </c>
      <c r="F338" t="s">
        <v>909</v>
      </c>
      <c r="G338" t="s">
        <v>604</v>
      </c>
      <c r="H338" t="s">
        <v>878</v>
      </c>
    </row>
    <row r="339" spans="1:8">
      <c r="A339">
        <v>95872</v>
      </c>
      <c r="B339">
        <v>487</v>
      </c>
      <c r="C339">
        <v>3.9361869451185073E-3</v>
      </c>
      <c r="D339" s="243" t="s">
        <v>908</v>
      </c>
      <c r="E339">
        <v>-99</v>
      </c>
      <c r="F339" t="s">
        <v>909</v>
      </c>
      <c r="G339" t="s">
        <v>604</v>
      </c>
      <c r="H339" t="s">
        <v>878</v>
      </c>
    </row>
    <row r="340" spans="1:8">
      <c r="A340">
        <v>95872</v>
      </c>
      <c r="B340">
        <v>488</v>
      </c>
      <c r="C340">
        <v>5.0707518132138982E-4</v>
      </c>
      <c r="D340" s="243" t="s">
        <v>908</v>
      </c>
      <c r="E340">
        <v>-99</v>
      </c>
      <c r="F340" t="s">
        <v>909</v>
      </c>
      <c r="G340" t="s">
        <v>604</v>
      </c>
      <c r="H340" t="s">
        <v>878</v>
      </c>
    </row>
    <row r="341" spans="1:8">
      <c r="A341">
        <v>95872</v>
      </c>
      <c r="B341">
        <v>519</v>
      </c>
      <c r="C341">
        <v>1.0893713327055138E-4</v>
      </c>
      <c r="D341" s="243" t="s">
        <v>908</v>
      </c>
      <c r="E341">
        <v>-99</v>
      </c>
      <c r="F341" t="s">
        <v>909</v>
      </c>
      <c r="G341" t="s">
        <v>604</v>
      </c>
      <c r="H341" t="s">
        <v>878</v>
      </c>
    </row>
    <row r="342" spans="1:8">
      <c r="A342">
        <v>95872</v>
      </c>
      <c r="B342">
        <v>520</v>
      </c>
      <c r="C342">
        <v>8.9113809870985635E-5</v>
      </c>
      <c r="D342" s="243" t="s">
        <v>908</v>
      </c>
      <c r="E342">
        <v>-99</v>
      </c>
      <c r="F342" t="s">
        <v>909</v>
      </c>
      <c r="G342" t="s">
        <v>604</v>
      </c>
      <c r="H342" t="s">
        <v>878</v>
      </c>
    </row>
    <row r="343" spans="1:8">
      <c r="A343">
        <v>95872</v>
      </c>
      <c r="B343">
        <v>525</v>
      </c>
      <c r="C343">
        <v>1.5234757702073509E-3</v>
      </c>
      <c r="D343" s="243" t="s">
        <v>908</v>
      </c>
      <c r="E343">
        <v>-99</v>
      </c>
      <c r="F343" t="s">
        <v>909</v>
      </c>
      <c r="G343" t="s">
        <v>604</v>
      </c>
      <c r="H343" t="s">
        <v>878</v>
      </c>
    </row>
    <row r="344" spans="1:8">
      <c r="A344">
        <v>95872</v>
      </c>
      <c r="B344">
        <v>526</v>
      </c>
      <c r="C344">
        <v>8.2062980812169892E-4</v>
      </c>
      <c r="D344" s="243" t="s">
        <v>908</v>
      </c>
      <c r="E344">
        <v>-99</v>
      </c>
      <c r="F344" t="s">
        <v>909</v>
      </c>
      <c r="G344" t="s">
        <v>604</v>
      </c>
      <c r="H344" t="s">
        <v>878</v>
      </c>
    </row>
    <row r="345" spans="1:8">
      <c r="A345">
        <v>95872</v>
      </c>
      <c r="B345">
        <v>528</v>
      </c>
      <c r="C345">
        <v>2.1630420925763599E-4</v>
      </c>
      <c r="D345" s="243" t="s">
        <v>908</v>
      </c>
      <c r="E345">
        <v>-99</v>
      </c>
      <c r="F345" t="s">
        <v>909</v>
      </c>
      <c r="G345" t="s">
        <v>604</v>
      </c>
      <c r="H345" t="s">
        <v>878</v>
      </c>
    </row>
    <row r="346" spans="1:8">
      <c r="A346">
        <v>95872</v>
      </c>
      <c r="B346">
        <v>586</v>
      </c>
      <c r="C346">
        <v>1.412448085964371E-5</v>
      </c>
      <c r="D346" s="243" t="s">
        <v>908</v>
      </c>
      <c r="E346">
        <v>-99</v>
      </c>
      <c r="F346" t="s">
        <v>909</v>
      </c>
      <c r="G346" t="s">
        <v>604</v>
      </c>
      <c r="H346" t="s">
        <v>878</v>
      </c>
    </row>
    <row r="347" spans="1:8">
      <c r="A347">
        <v>95872</v>
      </c>
      <c r="B347">
        <v>612</v>
      </c>
      <c r="C347">
        <v>1.5890465704723806E-5</v>
      </c>
      <c r="D347" s="243" t="s">
        <v>908</v>
      </c>
      <c r="E347">
        <v>-99</v>
      </c>
      <c r="F347" t="s">
        <v>909</v>
      </c>
      <c r="G347" t="s">
        <v>604</v>
      </c>
      <c r="H347" t="s">
        <v>878</v>
      </c>
    </row>
    <row r="348" spans="1:8">
      <c r="A348">
        <v>95872</v>
      </c>
      <c r="B348">
        <v>626</v>
      </c>
      <c r="C348">
        <v>49.766597431955923</v>
      </c>
      <c r="D348" s="243" t="s">
        <v>908</v>
      </c>
      <c r="E348">
        <v>-99</v>
      </c>
      <c r="F348" t="s">
        <v>909</v>
      </c>
      <c r="G348" t="s">
        <v>910</v>
      </c>
      <c r="H348" t="s">
        <v>878</v>
      </c>
    </row>
    <row r="349" spans="1:8">
      <c r="A349">
        <v>95872</v>
      </c>
      <c r="B349">
        <v>649</v>
      </c>
      <c r="C349">
        <v>8.4474453797423171E-4</v>
      </c>
      <c r="D349" s="243" t="s">
        <v>908</v>
      </c>
      <c r="E349">
        <v>-99</v>
      </c>
      <c r="F349" t="s">
        <v>909</v>
      </c>
      <c r="G349" t="s">
        <v>604</v>
      </c>
      <c r="H349" t="s">
        <v>878</v>
      </c>
    </row>
    <row r="350" spans="1:8">
      <c r="A350">
        <v>95872</v>
      </c>
      <c r="B350">
        <v>666</v>
      </c>
      <c r="C350">
        <v>1.6483577472468137E-3</v>
      </c>
      <c r="D350" s="243" t="s">
        <v>908</v>
      </c>
      <c r="E350">
        <v>-99</v>
      </c>
      <c r="F350" t="s">
        <v>909</v>
      </c>
      <c r="G350" t="s">
        <v>604</v>
      </c>
      <c r="H350" t="s">
        <v>878</v>
      </c>
    </row>
    <row r="351" spans="1:8">
      <c r="A351">
        <v>95872</v>
      </c>
      <c r="B351">
        <v>669</v>
      </c>
      <c r="C351">
        <v>0.3256143073228247</v>
      </c>
      <c r="D351" s="243" t="s">
        <v>908</v>
      </c>
      <c r="E351">
        <v>-99</v>
      </c>
      <c r="F351" t="s">
        <v>909</v>
      </c>
      <c r="G351" t="s">
        <v>604</v>
      </c>
      <c r="H351" t="s">
        <v>878</v>
      </c>
    </row>
    <row r="352" spans="1:8">
      <c r="A352">
        <v>95872</v>
      </c>
      <c r="B352">
        <v>689</v>
      </c>
      <c r="C352">
        <v>1.5451631168980509E-3</v>
      </c>
      <c r="D352" s="243" t="s">
        <v>908</v>
      </c>
      <c r="E352">
        <v>-99</v>
      </c>
      <c r="F352" t="s">
        <v>909</v>
      </c>
      <c r="G352" t="s">
        <v>604</v>
      </c>
      <c r="H352" t="s">
        <v>878</v>
      </c>
    </row>
    <row r="353" spans="1:8">
      <c r="A353">
        <v>95872</v>
      </c>
      <c r="B353">
        <v>693</v>
      </c>
      <c r="C353">
        <v>1.1694495532465525E-4</v>
      </c>
      <c r="D353" s="243" t="s">
        <v>908</v>
      </c>
      <c r="E353">
        <v>-99</v>
      </c>
      <c r="F353" t="s">
        <v>909</v>
      </c>
      <c r="G353" t="s">
        <v>604</v>
      </c>
      <c r="H353" t="s">
        <v>878</v>
      </c>
    </row>
    <row r="354" spans="1:8">
      <c r="A354">
        <v>95872</v>
      </c>
      <c r="B354">
        <v>694</v>
      </c>
      <c r="C354">
        <v>1.3326095167044299E-3</v>
      </c>
      <c r="D354" s="243" t="s">
        <v>908</v>
      </c>
      <c r="E354">
        <v>-99</v>
      </c>
      <c r="F354" t="s">
        <v>909</v>
      </c>
      <c r="G354" t="s">
        <v>604</v>
      </c>
      <c r="H354" t="s">
        <v>878</v>
      </c>
    </row>
    <row r="355" spans="1:8">
      <c r="A355">
        <v>95872</v>
      </c>
      <c r="B355">
        <v>695</v>
      </c>
      <c r="C355">
        <v>3.4834703277195956E-4</v>
      </c>
      <c r="D355" s="243" t="s">
        <v>908</v>
      </c>
      <c r="E355">
        <v>-99</v>
      </c>
      <c r="F355" t="s">
        <v>909</v>
      </c>
      <c r="G355" t="s">
        <v>604</v>
      </c>
      <c r="H355" t="s">
        <v>878</v>
      </c>
    </row>
    <row r="356" spans="1:8">
      <c r="A356">
        <v>95872</v>
      </c>
      <c r="B356">
        <v>696</v>
      </c>
      <c r="C356">
        <v>3.1754153561916743E-3</v>
      </c>
      <c r="D356" s="243" t="s">
        <v>908</v>
      </c>
      <c r="E356">
        <v>-99</v>
      </c>
      <c r="F356" t="s">
        <v>909</v>
      </c>
      <c r="G356" t="s">
        <v>604</v>
      </c>
      <c r="H356" t="s">
        <v>878</v>
      </c>
    </row>
    <row r="357" spans="1:8">
      <c r="A357">
        <v>95872</v>
      </c>
      <c r="B357">
        <v>697</v>
      </c>
      <c r="C357">
        <v>2.6724690071544272E-4</v>
      </c>
      <c r="D357" s="243" t="s">
        <v>908</v>
      </c>
      <c r="E357">
        <v>-99</v>
      </c>
      <c r="F357" t="s">
        <v>909</v>
      </c>
      <c r="G357" t="s">
        <v>604</v>
      </c>
      <c r="H357" t="s">
        <v>878</v>
      </c>
    </row>
    <row r="358" spans="1:8">
      <c r="A358">
        <v>95872</v>
      </c>
      <c r="B358">
        <v>699</v>
      </c>
      <c r="C358">
        <v>0.3592460710232413</v>
      </c>
      <c r="D358" s="243" t="s">
        <v>908</v>
      </c>
      <c r="E358">
        <v>-99</v>
      </c>
      <c r="F358" t="s">
        <v>909</v>
      </c>
      <c r="G358" t="s">
        <v>676</v>
      </c>
      <c r="H358" t="s">
        <v>878</v>
      </c>
    </row>
    <row r="359" spans="1:8">
      <c r="A359">
        <v>95872</v>
      </c>
      <c r="B359">
        <v>714</v>
      </c>
      <c r="C359">
        <v>1.159577905794336E-3</v>
      </c>
      <c r="D359" s="243" t="s">
        <v>908</v>
      </c>
      <c r="E359">
        <v>-99</v>
      </c>
      <c r="F359" t="s">
        <v>909</v>
      </c>
      <c r="G359" t="s">
        <v>604</v>
      </c>
      <c r="H359" t="s">
        <v>878</v>
      </c>
    </row>
    <row r="360" spans="1:8">
      <c r="A360">
        <v>95872</v>
      </c>
      <c r="B360">
        <v>715</v>
      </c>
      <c r="C360">
        <v>3.9272892488148223E-4</v>
      </c>
      <c r="D360" s="243" t="s">
        <v>908</v>
      </c>
      <c r="E360">
        <v>-99</v>
      </c>
      <c r="F360" t="s">
        <v>909</v>
      </c>
      <c r="G360" t="s">
        <v>604</v>
      </c>
      <c r="H360" t="s">
        <v>878</v>
      </c>
    </row>
    <row r="361" spans="1:8">
      <c r="A361">
        <v>95872</v>
      </c>
      <c r="B361">
        <v>767</v>
      </c>
      <c r="C361">
        <v>5.9860942169946207E-5</v>
      </c>
      <c r="D361" s="243" t="s">
        <v>908</v>
      </c>
      <c r="E361">
        <v>-99</v>
      </c>
      <c r="F361" t="s">
        <v>909</v>
      </c>
      <c r="G361" t="s">
        <v>604</v>
      </c>
      <c r="H361" t="s">
        <v>878</v>
      </c>
    </row>
    <row r="362" spans="1:8">
      <c r="A362">
        <v>95872</v>
      </c>
      <c r="B362">
        <v>778</v>
      </c>
      <c r="C362">
        <v>3.2111499827842838E-2</v>
      </c>
      <c r="D362" s="243" t="s">
        <v>908</v>
      </c>
      <c r="E362">
        <v>-99</v>
      </c>
      <c r="F362" t="s">
        <v>909</v>
      </c>
      <c r="G362" t="s">
        <v>604</v>
      </c>
      <c r="H362" t="s">
        <v>878</v>
      </c>
    </row>
    <row r="363" spans="1:8">
      <c r="A363">
        <v>95872</v>
      </c>
      <c r="B363">
        <v>779</v>
      </c>
      <c r="C363">
        <v>2.6703918792193404E-4</v>
      </c>
      <c r="D363" s="243" t="s">
        <v>908</v>
      </c>
      <c r="E363">
        <v>-99</v>
      </c>
      <c r="F363" t="s">
        <v>909</v>
      </c>
      <c r="G363" t="s">
        <v>604</v>
      </c>
      <c r="H363" t="s">
        <v>878</v>
      </c>
    </row>
    <row r="364" spans="1:8">
      <c r="A364">
        <v>95872</v>
      </c>
      <c r="B364">
        <v>795</v>
      </c>
      <c r="C364">
        <v>0.14539834396116694</v>
      </c>
      <c r="D364" s="243" t="s">
        <v>908</v>
      </c>
      <c r="E364">
        <v>-99</v>
      </c>
      <c r="F364" t="s">
        <v>909</v>
      </c>
      <c r="G364" t="s">
        <v>604</v>
      </c>
      <c r="H364" t="s">
        <v>878</v>
      </c>
    </row>
    <row r="365" spans="1:8">
      <c r="A365">
        <v>95872</v>
      </c>
      <c r="B365">
        <v>797</v>
      </c>
      <c r="C365">
        <v>1.5569400853310058</v>
      </c>
      <c r="D365" s="243" t="s">
        <v>908</v>
      </c>
      <c r="E365">
        <v>-99</v>
      </c>
      <c r="F365" t="s">
        <v>909</v>
      </c>
      <c r="G365" t="s">
        <v>910</v>
      </c>
      <c r="H365" t="s">
        <v>878</v>
      </c>
    </row>
    <row r="366" spans="1:8">
      <c r="A366">
        <v>95872</v>
      </c>
      <c r="B366">
        <v>2668</v>
      </c>
      <c r="C366">
        <v>8.621905704557789E-2</v>
      </c>
      <c r="D366" s="243" t="s">
        <v>908</v>
      </c>
      <c r="E366">
        <v>-99</v>
      </c>
      <c r="F366" t="s">
        <v>909</v>
      </c>
      <c r="G366" t="s">
        <v>676</v>
      </c>
      <c r="H366" t="s">
        <v>878</v>
      </c>
    </row>
    <row r="367" spans="1:8">
      <c r="A367">
        <v>95872</v>
      </c>
      <c r="B367">
        <v>2669</v>
      </c>
      <c r="C367">
        <v>47.623522044534219</v>
      </c>
      <c r="D367" s="243" t="s">
        <v>908</v>
      </c>
      <c r="E367">
        <v>-99</v>
      </c>
      <c r="F367" t="s">
        <v>909</v>
      </c>
      <c r="G367" t="s">
        <v>676</v>
      </c>
      <c r="H367" t="s">
        <v>878</v>
      </c>
    </row>
    <row r="368" spans="1:8">
      <c r="A368">
        <v>95872</v>
      </c>
      <c r="B368">
        <v>2670</v>
      </c>
      <c r="C368">
        <v>3.7156299247319148E-2</v>
      </c>
      <c r="D368" s="243" t="s">
        <v>908</v>
      </c>
      <c r="E368">
        <v>-99</v>
      </c>
      <c r="F368" t="s">
        <v>909</v>
      </c>
      <c r="G368" t="s">
        <v>676</v>
      </c>
      <c r="H368" t="s">
        <v>878</v>
      </c>
    </row>
    <row r="369" spans="1:8">
      <c r="A369">
        <v>95873</v>
      </c>
      <c r="B369">
        <v>292</v>
      </c>
      <c r="C369">
        <v>1.4920028284936106E-4</v>
      </c>
      <c r="D369" s="243" t="s">
        <v>908</v>
      </c>
      <c r="E369">
        <v>-99</v>
      </c>
      <c r="F369" t="s">
        <v>909</v>
      </c>
      <c r="G369" t="s">
        <v>604</v>
      </c>
      <c r="H369" t="s">
        <v>878</v>
      </c>
    </row>
    <row r="370" spans="1:8">
      <c r="A370">
        <v>95873</v>
      </c>
      <c r="B370">
        <v>296</v>
      </c>
      <c r="C370">
        <v>6.6483347017295517E-3</v>
      </c>
      <c r="D370" s="243" t="s">
        <v>908</v>
      </c>
      <c r="E370">
        <v>-99</v>
      </c>
      <c r="F370" t="s">
        <v>909</v>
      </c>
      <c r="G370" t="s">
        <v>604</v>
      </c>
      <c r="H370" t="s">
        <v>878</v>
      </c>
    </row>
    <row r="371" spans="1:8">
      <c r="A371">
        <v>95873</v>
      </c>
      <c r="B371">
        <v>298</v>
      </c>
      <c r="C371">
        <v>5.5499324106334261E-6</v>
      </c>
      <c r="D371" s="243" t="s">
        <v>908</v>
      </c>
      <c r="E371">
        <v>-99</v>
      </c>
      <c r="F371" t="s">
        <v>909</v>
      </c>
      <c r="G371" t="s">
        <v>604</v>
      </c>
      <c r="H371" t="s">
        <v>878</v>
      </c>
    </row>
    <row r="372" spans="1:8">
      <c r="A372">
        <v>95873</v>
      </c>
      <c r="B372">
        <v>300</v>
      </c>
      <c r="C372">
        <v>6.7536462124450486E-4</v>
      </c>
      <c r="D372" s="243" t="s">
        <v>908</v>
      </c>
      <c r="E372">
        <v>-99</v>
      </c>
      <c r="F372" t="s">
        <v>909</v>
      </c>
      <c r="G372" t="s">
        <v>604</v>
      </c>
      <c r="H372" t="s">
        <v>878</v>
      </c>
    </row>
    <row r="373" spans="1:8">
      <c r="A373">
        <v>95873</v>
      </c>
      <c r="B373">
        <v>328</v>
      </c>
      <c r="C373">
        <v>4.4826065341299721E-3</v>
      </c>
      <c r="D373" s="243" t="s">
        <v>908</v>
      </c>
      <c r="E373">
        <v>-99</v>
      </c>
      <c r="F373" t="s">
        <v>909</v>
      </c>
      <c r="G373" t="s">
        <v>604</v>
      </c>
      <c r="H373" t="s">
        <v>878</v>
      </c>
    </row>
    <row r="374" spans="1:8">
      <c r="A374">
        <v>95873</v>
      </c>
      <c r="B374">
        <v>329</v>
      </c>
      <c r="C374">
        <v>3.2081868401539732E-2</v>
      </c>
      <c r="D374" s="243" t="s">
        <v>908</v>
      </c>
      <c r="E374">
        <v>-99</v>
      </c>
      <c r="F374" t="s">
        <v>909</v>
      </c>
      <c r="G374" t="s">
        <v>604</v>
      </c>
      <c r="H374" t="s">
        <v>878</v>
      </c>
    </row>
    <row r="375" spans="1:8">
      <c r="A375">
        <v>95873</v>
      </c>
      <c r="B375">
        <v>347</v>
      </c>
      <c r="C375">
        <v>3.6310561839598111E-2</v>
      </c>
      <c r="D375" s="243" t="s">
        <v>908</v>
      </c>
      <c r="E375">
        <v>-99</v>
      </c>
      <c r="F375" t="s">
        <v>909</v>
      </c>
      <c r="G375" t="s">
        <v>604</v>
      </c>
      <c r="H375" t="s">
        <v>878</v>
      </c>
    </row>
    <row r="376" spans="1:8">
      <c r="A376">
        <v>95873</v>
      </c>
      <c r="B376">
        <v>379</v>
      </c>
      <c r="C376">
        <v>1.0925816555492543E-5</v>
      </c>
      <c r="D376" s="243" t="s">
        <v>908</v>
      </c>
      <c r="E376">
        <v>-99</v>
      </c>
      <c r="F376" t="s">
        <v>909</v>
      </c>
      <c r="G376" t="s">
        <v>604</v>
      </c>
      <c r="H376" t="s">
        <v>878</v>
      </c>
    </row>
    <row r="377" spans="1:8">
      <c r="A377">
        <v>95873</v>
      </c>
      <c r="B377">
        <v>380</v>
      </c>
      <c r="C377">
        <v>6.6938232119747242E-4</v>
      </c>
      <c r="D377" s="243" t="s">
        <v>908</v>
      </c>
      <c r="E377">
        <v>-99</v>
      </c>
      <c r="F377" t="s">
        <v>909</v>
      </c>
      <c r="G377" t="s">
        <v>604</v>
      </c>
      <c r="H377" t="s">
        <v>878</v>
      </c>
    </row>
    <row r="378" spans="1:8">
      <c r="A378">
        <v>95873</v>
      </c>
      <c r="B378">
        <v>468</v>
      </c>
      <c r="C378">
        <v>3.6864709387533126E-6</v>
      </c>
      <c r="D378" s="243" t="s">
        <v>908</v>
      </c>
      <c r="E378">
        <v>-99</v>
      </c>
      <c r="F378" t="s">
        <v>909</v>
      </c>
      <c r="G378" t="s">
        <v>604</v>
      </c>
      <c r="H378" t="s">
        <v>878</v>
      </c>
    </row>
    <row r="379" spans="1:8">
      <c r="A379">
        <v>95873</v>
      </c>
      <c r="B379">
        <v>487</v>
      </c>
      <c r="C379">
        <v>3.1137522864198913E-3</v>
      </c>
      <c r="D379" s="243" t="s">
        <v>908</v>
      </c>
      <c r="E379">
        <v>-99</v>
      </c>
      <c r="F379" t="s">
        <v>909</v>
      </c>
      <c r="G379" t="s">
        <v>604</v>
      </c>
      <c r="H379" t="s">
        <v>878</v>
      </c>
    </row>
    <row r="380" spans="1:8">
      <c r="A380">
        <v>95873</v>
      </c>
      <c r="B380">
        <v>488</v>
      </c>
      <c r="C380">
        <v>5.9465151914272867E-3</v>
      </c>
      <c r="D380" s="243" t="s">
        <v>908</v>
      </c>
      <c r="E380">
        <v>-99</v>
      </c>
      <c r="F380" t="s">
        <v>909</v>
      </c>
      <c r="G380" t="s">
        <v>604</v>
      </c>
      <c r="H380" t="s">
        <v>878</v>
      </c>
    </row>
    <row r="381" spans="1:8">
      <c r="A381">
        <v>95873</v>
      </c>
      <c r="B381">
        <v>519</v>
      </c>
      <c r="C381">
        <v>2.8980392056200926E-4</v>
      </c>
      <c r="D381" s="243" t="s">
        <v>908</v>
      </c>
      <c r="E381">
        <v>-99</v>
      </c>
      <c r="F381" t="s">
        <v>909</v>
      </c>
      <c r="G381" t="s">
        <v>604</v>
      </c>
      <c r="H381" t="s">
        <v>878</v>
      </c>
    </row>
    <row r="382" spans="1:8">
      <c r="A382">
        <v>95873</v>
      </c>
      <c r="B382">
        <v>520</v>
      </c>
      <c r="C382">
        <v>6.9473365465019864E-4</v>
      </c>
      <c r="D382" s="243" t="s">
        <v>908</v>
      </c>
      <c r="E382">
        <v>-99</v>
      </c>
      <c r="F382" t="s">
        <v>909</v>
      </c>
      <c r="G382" t="s">
        <v>604</v>
      </c>
      <c r="H382" t="s">
        <v>878</v>
      </c>
    </row>
    <row r="383" spans="1:8">
      <c r="A383">
        <v>95873</v>
      </c>
      <c r="B383">
        <v>525</v>
      </c>
      <c r="C383">
        <v>8.7684039635461796E-3</v>
      </c>
      <c r="D383" s="243" t="s">
        <v>908</v>
      </c>
      <c r="E383">
        <v>-99</v>
      </c>
      <c r="F383" t="s">
        <v>909</v>
      </c>
      <c r="G383" t="s">
        <v>604</v>
      </c>
      <c r="H383" t="s">
        <v>878</v>
      </c>
    </row>
    <row r="384" spans="1:8">
      <c r="A384">
        <v>95873</v>
      </c>
      <c r="B384">
        <v>526</v>
      </c>
      <c r="C384">
        <v>6.1510880575264392E-4</v>
      </c>
      <c r="D384" s="243" t="s">
        <v>908</v>
      </c>
      <c r="E384">
        <v>-99</v>
      </c>
      <c r="F384" t="s">
        <v>909</v>
      </c>
      <c r="G384" t="s">
        <v>604</v>
      </c>
      <c r="H384" t="s">
        <v>878</v>
      </c>
    </row>
    <row r="385" spans="1:8">
      <c r="A385">
        <v>95873</v>
      </c>
      <c r="B385">
        <v>528</v>
      </c>
      <c r="C385">
        <v>2.929052178130999E-4</v>
      </c>
      <c r="D385" s="243" t="s">
        <v>908</v>
      </c>
      <c r="E385">
        <v>-99</v>
      </c>
      <c r="F385" t="s">
        <v>909</v>
      </c>
      <c r="G385" t="s">
        <v>604</v>
      </c>
      <c r="H385" t="s">
        <v>878</v>
      </c>
    </row>
    <row r="386" spans="1:8">
      <c r="A386">
        <v>95873</v>
      </c>
      <c r="B386">
        <v>586</v>
      </c>
      <c r="C386">
        <v>4.2843892519853086E-4</v>
      </c>
      <c r="D386" s="243" t="s">
        <v>908</v>
      </c>
      <c r="E386">
        <v>-99</v>
      </c>
      <c r="F386" t="s">
        <v>909</v>
      </c>
      <c r="G386" t="s">
        <v>604</v>
      </c>
      <c r="H386" t="s">
        <v>878</v>
      </c>
    </row>
    <row r="387" spans="1:8">
      <c r="A387">
        <v>95873</v>
      </c>
      <c r="B387">
        <v>612</v>
      </c>
      <c r="C387">
        <v>7.3059531748519924E-5</v>
      </c>
      <c r="D387" s="243" t="s">
        <v>908</v>
      </c>
      <c r="E387">
        <v>-99</v>
      </c>
      <c r="F387" t="s">
        <v>909</v>
      </c>
      <c r="G387" t="s">
        <v>604</v>
      </c>
      <c r="H387" t="s">
        <v>878</v>
      </c>
    </row>
    <row r="388" spans="1:8">
      <c r="A388">
        <v>95873</v>
      </c>
      <c r="B388">
        <v>626</v>
      </c>
      <c r="C388">
        <v>47.194980580868176</v>
      </c>
      <c r="D388" s="243" t="s">
        <v>908</v>
      </c>
      <c r="E388">
        <v>-99</v>
      </c>
      <c r="F388" t="s">
        <v>909</v>
      </c>
      <c r="G388" t="s">
        <v>910</v>
      </c>
      <c r="H388" t="s">
        <v>878</v>
      </c>
    </row>
    <row r="389" spans="1:8">
      <c r="A389">
        <v>95873</v>
      </c>
      <c r="B389">
        <v>649</v>
      </c>
      <c r="C389">
        <v>4.1658432283944247E-4</v>
      </c>
      <c r="D389" s="243" t="s">
        <v>908</v>
      </c>
      <c r="E389">
        <v>-99</v>
      </c>
      <c r="F389" t="s">
        <v>909</v>
      </c>
      <c r="G389" t="s">
        <v>604</v>
      </c>
      <c r="H389" t="s">
        <v>878</v>
      </c>
    </row>
    <row r="390" spans="1:8">
      <c r="A390">
        <v>95873</v>
      </c>
      <c r="B390">
        <v>666</v>
      </c>
      <c r="C390">
        <v>2.1880693071687895E-3</v>
      </c>
      <c r="D390" s="243" t="s">
        <v>908</v>
      </c>
      <c r="E390">
        <v>-99</v>
      </c>
      <c r="F390" t="s">
        <v>909</v>
      </c>
      <c r="G390" t="s">
        <v>604</v>
      </c>
      <c r="H390" t="s">
        <v>878</v>
      </c>
    </row>
    <row r="391" spans="1:8">
      <c r="A391">
        <v>95873</v>
      </c>
      <c r="B391">
        <v>669</v>
      </c>
      <c r="C391">
        <v>0.9878080909236755</v>
      </c>
      <c r="D391" s="243" t="s">
        <v>908</v>
      </c>
      <c r="E391">
        <v>-99</v>
      </c>
      <c r="F391" t="s">
        <v>909</v>
      </c>
      <c r="G391" t="s">
        <v>604</v>
      </c>
      <c r="H391" t="s">
        <v>878</v>
      </c>
    </row>
    <row r="392" spans="1:8">
      <c r="A392">
        <v>95873</v>
      </c>
      <c r="B392">
        <v>689</v>
      </c>
      <c r="C392">
        <v>3.4178419500415259E-3</v>
      </c>
      <c r="D392" s="243" t="s">
        <v>908</v>
      </c>
      <c r="E392">
        <v>-99</v>
      </c>
      <c r="F392" t="s">
        <v>909</v>
      </c>
      <c r="G392" t="s">
        <v>604</v>
      </c>
      <c r="H392" t="s">
        <v>878</v>
      </c>
    </row>
    <row r="393" spans="1:8">
      <c r="A393">
        <v>95873</v>
      </c>
      <c r="B393">
        <v>693</v>
      </c>
      <c r="C393">
        <v>7.6852873305494377E-4</v>
      </c>
      <c r="D393" s="243" t="s">
        <v>908</v>
      </c>
      <c r="E393">
        <v>-99</v>
      </c>
      <c r="F393" t="s">
        <v>909</v>
      </c>
      <c r="G393" t="s">
        <v>604</v>
      </c>
      <c r="H393" t="s">
        <v>878</v>
      </c>
    </row>
    <row r="394" spans="1:8">
      <c r="A394">
        <v>95873</v>
      </c>
      <c r="B394">
        <v>694</v>
      </c>
      <c r="C394">
        <v>5.9539828680558016E-2</v>
      </c>
      <c r="D394" s="243" t="s">
        <v>908</v>
      </c>
      <c r="E394">
        <v>-99</v>
      </c>
      <c r="F394" t="s">
        <v>909</v>
      </c>
      <c r="G394" t="s">
        <v>604</v>
      </c>
      <c r="H394" t="s">
        <v>878</v>
      </c>
    </row>
    <row r="395" spans="1:8">
      <c r="A395">
        <v>95873</v>
      </c>
      <c r="B395">
        <v>695</v>
      </c>
      <c r="C395">
        <v>3.1360102379765086E-3</v>
      </c>
      <c r="D395" s="243" t="s">
        <v>908</v>
      </c>
      <c r="E395">
        <v>-99</v>
      </c>
      <c r="F395" t="s">
        <v>909</v>
      </c>
      <c r="G395" t="s">
        <v>604</v>
      </c>
      <c r="H395" t="s">
        <v>878</v>
      </c>
    </row>
    <row r="396" spans="1:8">
      <c r="A396">
        <v>95873</v>
      </c>
      <c r="B396">
        <v>696</v>
      </c>
      <c r="C396">
        <v>1.3914622088178705E-2</v>
      </c>
      <c r="D396" s="243" t="s">
        <v>908</v>
      </c>
      <c r="E396">
        <v>-99</v>
      </c>
      <c r="F396" t="s">
        <v>909</v>
      </c>
      <c r="G396" t="s">
        <v>604</v>
      </c>
      <c r="H396" t="s">
        <v>878</v>
      </c>
    </row>
    <row r="397" spans="1:8">
      <c r="A397">
        <v>95873</v>
      </c>
      <c r="B397">
        <v>697</v>
      </c>
      <c r="C397">
        <v>1.1224369830048593E-4</v>
      </c>
      <c r="D397" s="243" t="s">
        <v>908</v>
      </c>
      <c r="E397">
        <v>-99</v>
      </c>
      <c r="F397" t="s">
        <v>909</v>
      </c>
      <c r="G397" t="s">
        <v>604</v>
      </c>
      <c r="H397" t="s">
        <v>878</v>
      </c>
    </row>
    <row r="398" spans="1:8">
      <c r="A398">
        <v>95873</v>
      </c>
      <c r="B398">
        <v>699</v>
      </c>
      <c r="C398">
        <v>1.2566114229316538</v>
      </c>
      <c r="D398" s="243" t="s">
        <v>908</v>
      </c>
      <c r="E398">
        <v>-99</v>
      </c>
      <c r="F398" t="s">
        <v>909</v>
      </c>
      <c r="G398" t="s">
        <v>676</v>
      </c>
      <c r="H398" t="s">
        <v>878</v>
      </c>
    </row>
    <row r="399" spans="1:8">
      <c r="A399">
        <v>95873</v>
      </c>
      <c r="B399">
        <v>714</v>
      </c>
      <c r="C399">
        <v>5.264802235121234E-3</v>
      </c>
      <c r="D399" s="243" t="s">
        <v>908</v>
      </c>
      <c r="E399">
        <v>-99</v>
      </c>
      <c r="F399" t="s">
        <v>909</v>
      </c>
      <c r="G399" t="s">
        <v>604</v>
      </c>
      <c r="H399" t="s">
        <v>878</v>
      </c>
    </row>
    <row r="400" spans="1:8">
      <c r="A400">
        <v>95873</v>
      </c>
      <c r="B400">
        <v>715</v>
      </c>
      <c r="C400">
        <v>2.002353279791195E-4</v>
      </c>
      <c r="D400" s="243" t="s">
        <v>908</v>
      </c>
      <c r="E400">
        <v>-99</v>
      </c>
      <c r="F400" t="s">
        <v>909</v>
      </c>
      <c r="G400" t="s">
        <v>604</v>
      </c>
      <c r="H400" t="s">
        <v>878</v>
      </c>
    </row>
    <row r="401" spans="1:8">
      <c r="A401">
        <v>95873</v>
      </c>
      <c r="B401">
        <v>767</v>
      </c>
      <c r="C401">
        <v>2.0564729181141308E-4</v>
      </c>
      <c r="D401" s="243" t="s">
        <v>908</v>
      </c>
      <c r="E401">
        <v>-99</v>
      </c>
      <c r="F401" t="s">
        <v>909</v>
      </c>
      <c r="G401" t="s">
        <v>604</v>
      </c>
      <c r="H401" t="s">
        <v>878</v>
      </c>
    </row>
    <row r="402" spans="1:8">
      <c r="A402">
        <v>95873</v>
      </c>
      <c r="B402">
        <v>778</v>
      </c>
      <c r="C402">
        <v>0.12012676060018833</v>
      </c>
      <c r="D402" s="243" t="s">
        <v>908</v>
      </c>
      <c r="E402">
        <v>-99</v>
      </c>
      <c r="F402" t="s">
        <v>909</v>
      </c>
      <c r="G402" t="s">
        <v>604</v>
      </c>
      <c r="H402" t="s">
        <v>878</v>
      </c>
    </row>
    <row r="403" spans="1:8">
      <c r="A403">
        <v>95873</v>
      </c>
      <c r="B403">
        <v>779</v>
      </c>
      <c r="C403">
        <v>2.2565940770446366E-4</v>
      </c>
      <c r="D403" s="243" t="s">
        <v>908</v>
      </c>
      <c r="E403">
        <v>-99</v>
      </c>
      <c r="F403" t="s">
        <v>909</v>
      </c>
      <c r="G403" t="s">
        <v>604</v>
      </c>
      <c r="H403" t="s">
        <v>878</v>
      </c>
    </row>
    <row r="404" spans="1:8">
      <c r="A404">
        <v>95873</v>
      </c>
      <c r="B404">
        <v>795</v>
      </c>
      <c r="C404">
        <v>0.39691030631474955</v>
      </c>
      <c r="D404" s="243" t="s">
        <v>908</v>
      </c>
      <c r="E404">
        <v>-99</v>
      </c>
      <c r="F404" t="s">
        <v>909</v>
      </c>
      <c r="G404" t="s">
        <v>604</v>
      </c>
      <c r="H404" t="s">
        <v>878</v>
      </c>
    </row>
    <row r="405" spans="1:8">
      <c r="A405">
        <v>95873</v>
      </c>
      <c r="B405">
        <v>797</v>
      </c>
      <c r="C405">
        <v>5.6331446914194609</v>
      </c>
      <c r="D405" s="243" t="s">
        <v>908</v>
      </c>
      <c r="E405">
        <v>-99</v>
      </c>
      <c r="F405" t="s">
        <v>909</v>
      </c>
      <c r="G405" t="s">
        <v>910</v>
      </c>
      <c r="H405" t="s">
        <v>878</v>
      </c>
    </row>
    <row r="406" spans="1:8">
      <c r="A406">
        <v>95873</v>
      </c>
      <c r="B406">
        <v>2668</v>
      </c>
      <c r="C406">
        <v>0.30158674150359693</v>
      </c>
      <c r="D406" s="243" t="s">
        <v>908</v>
      </c>
      <c r="E406">
        <v>-99</v>
      </c>
      <c r="F406" t="s">
        <v>909</v>
      </c>
      <c r="G406" t="s">
        <v>676</v>
      </c>
      <c r="H406" t="s">
        <v>878</v>
      </c>
    </row>
    <row r="407" spans="1:8">
      <c r="A407">
        <v>95873</v>
      </c>
      <c r="B407">
        <v>2669</v>
      </c>
      <c r="C407">
        <v>43.770963624459981</v>
      </c>
      <c r="D407" s="243" t="s">
        <v>908</v>
      </c>
      <c r="E407">
        <v>-99</v>
      </c>
      <c r="F407" t="s">
        <v>909</v>
      </c>
      <c r="G407" t="s">
        <v>676</v>
      </c>
      <c r="H407" t="s">
        <v>878</v>
      </c>
    </row>
    <row r="408" spans="1:8">
      <c r="A408">
        <v>95873</v>
      </c>
      <c r="B408">
        <v>2670</v>
      </c>
      <c r="C408">
        <v>0.14722018708926754</v>
      </c>
      <c r="D408" s="243" t="s">
        <v>908</v>
      </c>
      <c r="E408">
        <v>-99</v>
      </c>
      <c r="F408" t="s">
        <v>909</v>
      </c>
      <c r="G408" t="s">
        <v>676</v>
      </c>
      <c r="H408" t="s">
        <v>878</v>
      </c>
    </row>
  </sheetData>
  <autoFilter ref="A1:I408" xr:uid="{05B94E47-27C9-4FD7-A42A-3B313CBE12E2}">
    <sortState xmlns:xlrd2="http://schemas.microsoft.com/office/spreadsheetml/2017/richdata2" ref="A2:I408">
      <sortCondition ref="A2:A408"/>
      <sortCondition ref="B2:B408"/>
    </sortState>
  </autoFilter>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A05A8-6339-40C7-901D-0045951C09CE}">
  <dimension ref="A1:D2"/>
  <sheetViews>
    <sheetView zoomScale="85" zoomScaleNormal="85" workbookViewId="0">
      <selection activeCell="Q26" sqref="Q26"/>
    </sheetView>
  </sheetViews>
  <sheetFormatPr defaultRowHeight="15"/>
  <cols>
    <col min="1" max="1" width="13.42578125" customWidth="1"/>
    <col min="2" max="2" width="13.28515625" customWidth="1"/>
    <col min="3" max="3" width="19.28515625" customWidth="1"/>
  </cols>
  <sheetData>
    <row r="1" spans="1:4">
      <c r="A1" s="244" t="s">
        <v>911</v>
      </c>
      <c r="B1" s="244" t="s">
        <v>912</v>
      </c>
      <c r="C1" s="244" t="s">
        <v>913</v>
      </c>
      <c r="D1" s="244" t="s">
        <v>914</v>
      </c>
    </row>
    <row r="2" spans="1:4">
      <c r="A2" t="s">
        <v>915</v>
      </c>
      <c r="B2" t="s">
        <v>916</v>
      </c>
      <c r="C2" t="s">
        <v>917</v>
      </c>
      <c r="D2" s="245"/>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3E82A-5A7F-453B-92BC-9E2F4C8BAAB0}">
  <dimension ref="A1:B24"/>
  <sheetViews>
    <sheetView zoomScale="85" zoomScaleNormal="85" workbookViewId="0">
      <selection activeCell="A2" sqref="A2:A13"/>
    </sheetView>
  </sheetViews>
  <sheetFormatPr defaultRowHeight="15"/>
  <cols>
    <col min="1" max="1" width="14.140625" bestFit="1" customWidth="1"/>
    <col min="2" max="2" width="12.28515625" bestFit="1" customWidth="1"/>
  </cols>
  <sheetData>
    <row r="1" spans="1:2">
      <c r="A1" s="246" t="s">
        <v>742</v>
      </c>
      <c r="B1" s="246" t="s">
        <v>911</v>
      </c>
    </row>
    <row r="2" spans="1:2">
      <c r="A2" s="241">
        <v>95862</v>
      </c>
      <c r="B2" t="s">
        <v>915</v>
      </c>
    </row>
    <row r="3" spans="1:2">
      <c r="A3" s="241">
        <v>95863</v>
      </c>
      <c r="B3" t="s">
        <v>915</v>
      </c>
    </row>
    <row r="4" spans="1:2">
      <c r="A4" s="241">
        <v>95864</v>
      </c>
      <c r="B4" t="s">
        <v>915</v>
      </c>
    </row>
    <row r="5" spans="1:2">
      <c r="A5" s="241">
        <v>95865</v>
      </c>
      <c r="B5" t="s">
        <v>915</v>
      </c>
    </row>
    <row r="6" spans="1:2">
      <c r="A6" s="241">
        <v>95866</v>
      </c>
      <c r="B6" t="s">
        <v>915</v>
      </c>
    </row>
    <row r="7" spans="1:2">
      <c r="A7" s="241">
        <v>95867</v>
      </c>
      <c r="B7" t="s">
        <v>915</v>
      </c>
    </row>
    <row r="8" spans="1:2">
      <c r="A8" s="241">
        <v>95868</v>
      </c>
      <c r="B8" t="s">
        <v>915</v>
      </c>
    </row>
    <row r="9" spans="1:2">
      <c r="A9" s="241">
        <v>95869</v>
      </c>
      <c r="B9" t="s">
        <v>915</v>
      </c>
    </row>
    <row r="10" spans="1:2">
      <c r="A10" s="241">
        <v>95870</v>
      </c>
      <c r="B10" t="s">
        <v>915</v>
      </c>
    </row>
    <row r="11" spans="1:2">
      <c r="A11" s="241">
        <v>95871</v>
      </c>
      <c r="B11" t="s">
        <v>915</v>
      </c>
    </row>
    <row r="12" spans="1:2">
      <c r="A12" s="241">
        <v>95872</v>
      </c>
      <c r="B12" t="s">
        <v>915</v>
      </c>
    </row>
    <row r="13" spans="1:2">
      <c r="A13" s="241">
        <v>95873</v>
      </c>
      <c r="B13" t="s">
        <v>915</v>
      </c>
    </row>
    <row r="14" spans="1:2">
      <c r="A14" s="241"/>
    </row>
    <row r="15" spans="1:2">
      <c r="A15" s="241"/>
    </row>
    <row r="16" spans="1:2">
      <c r="A16" s="241"/>
    </row>
    <row r="17" spans="1:1">
      <c r="A17" s="241"/>
    </row>
    <row r="18" spans="1:1">
      <c r="A18" s="241"/>
    </row>
    <row r="19" spans="1:1">
      <c r="A19" s="241"/>
    </row>
    <row r="20" spans="1:1">
      <c r="A20" s="241"/>
    </row>
    <row r="21" spans="1:1">
      <c r="A21" s="241"/>
    </row>
    <row r="22" spans="1:1">
      <c r="A22" s="241"/>
    </row>
    <row r="23" spans="1:1">
      <c r="A23" s="241"/>
    </row>
    <row r="24" spans="1:1">
      <c r="A24" s="241"/>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49C58-F4E4-403B-9957-31266D2917A5}">
  <dimension ref="A1:H51"/>
  <sheetViews>
    <sheetView workbookViewId="0">
      <selection activeCell="A18" sqref="A18"/>
    </sheetView>
  </sheetViews>
  <sheetFormatPr defaultRowHeight="15"/>
  <cols>
    <col min="3" max="3" width="11.7109375" customWidth="1"/>
  </cols>
  <sheetData>
    <row r="1" spans="1:8">
      <c r="A1" s="174" t="s">
        <v>602</v>
      </c>
      <c r="B1" s="175" t="s">
        <v>918</v>
      </c>
      <c r="C1" s="175" t="s">
        <v>919</v>
      </c>
      <c r="D1" s="175" t="s">
        <v>920</v>
      </c>
      <c r="E1" s="175" t="s">
        <v>921</v>
      </c>
      <c r="F1" s="175" t="s">
        <v>922</v>
      </c>
      <c r="G1" s="175" t="s">
        <v>923</v>
      </c>
      <c r="H1" s="174" t="s">
        <v>924</v>
      </c>
    </row>
    <row r="2" spans="1:8">
      <c r="A2" s="176">
        <v>696</v>
      </c>
      <c r="B2" s="177" t="s">
        <v>619</v>
      </c>
      <c r="C2" s="177">
        <v>22.99</v>
      </c>
      <c r="D2" s="177" t="s">
        <v>925</v>
      </c>
      <c r="E2" s="177" t="s">
        <v>926</v>
      </c>
      <c r="F2" s="177" t="s">
        <v>926</v>
      </c>
      <c r="G2" s="178">
        <v>0.34799999999999998</v>
      </c>
      <c r="H2" t="s">
        <v>927</v>
      </c>
    </row>
    <row r="3" spans="1:8">
      <c r="A3">
        <v>785</v>
      </c>
      <c r="B3" t="s">
        <v>928</v>
      </c>
      <c r="C3" s="9">
        <v>22.989220700000001</v>
      </c>
      <c r="D3" s="177"/>
      <c r="E3" s="177"/>
      <c r="F3" s="177"/>
      <c r="G3" s="178">
        <v>0.34799999999999998</v>
      </c>
      <c r="H3" t="s">
        <v>929</v>
      </c>
    </row>
    <row r="4" spans="1:8">
      <c r="A4" s="176">
        <v>525</v>
      </c>
      <c r="B4" s="177" t="s">
        <v>620</v>
      </c>
      <c r="C4" s="177">
        <v>24.31</v>
      </c>
      <c r="D4" s="177" t="s">
        <v>930</v>
      </c>
      <c r="E4" s="177" t="s">
        <v>926</v>
      </c>
      <c r="F4" s="177" t="s">
        <v>926</v>
      </c>
      <c r="G4" s="178">
        <v>0.65800000000000003</v>
      </c>
      <c r="H4" t="s">
        <v>931</v>
      </c>
    </row>
    <row r="5" spans="1:8">
      <c r="A5">
        <v>2772</v>
      </c>
      <c r="B5" t="s">
        <v>932</v>
      </c>
      <c r="C5" s="9">
        <v>24.305</v>
      </c>
      <c r="F5" s="177"/>
      <c r="G5" s="178">
        <v>0.65800000000000003</v>
      </c>
      <c r="H5" t="s">
        <v>933</v>
      </c>
    </row>
    <row r="6" spans="1:8">
      <c r="A6">
        <v>292</v>
      </c>
      <c r="B6" s="177" t="s">
        <v>621</v>
      </c>
      <c r="C6" s="177">
        <v>26.98</v>
      </c>
      <c r="D6" s="177" t="s">
        <v>934</v>
      </c>
      <c r="E6" s="177" t="s">
        <v>926</v>
      </c>
      <c r="F6" s="177" t="s">
        <v>926</v>
      </c>
      <c r="G6" s="178">
        <v>0.88900000000000001</v>
      </c>
      <c r="H6" t="s">
        <v>935</v>
      </c>
    </row>
    <row r="7" spans="1:8">
      <c r="A7">
        <v>694</v>
      </c>
      <c r="B7" s="177" t="s">
        <v>622</v>
      </c>
      <c r="C7" s="177">
        <v>28.09</v>
      </c>
      <c r="D7" s="177" t="s">
        <v>936</v>
      </c>
      <c r="E7" s="177" t="s">
        <v>926</v>
      </c>
      <c r="F7" s="177" t="s">
        <v>926</v>
      </c>
      <c r="G7" s="178">
        <v>1.139</v>
      </c>
      <c r="H7" t="s">
        <v>937</v>
      </c>
    </row>
    <row r="8" spans="1:8">
      <c r="A8">
        <v>666</v>
      </c>
      <c r="B8" s="177" t="s">
        <v>623</v>
      </c>
      <c r="C8" s="177">
        <v>30.97</v>
      </c>
      <c r="D8" s="177" t="s">
        <v>938</v>
      </c>
      <c r="E8" s="177" t="s">
        <v>939</v>
      </c>
      <c r="F8" s="177" t="s">
        <v>926</v>
      </c>
      <c r="G8" s="178">
        <v>1.0329999999999999</v>
      </c>
      <c r="H8" t="s">
        <v>940</v>
      </c>
    </row>
    <row r="9" spans="1:8">
      <c r="A9" s="176">
        <v>669</v>
      </c>
      <c r="B9" s="177" t="s">
        <v>626</v>
      </c>
      <c r="C9" s="177">
        <v>39.1</v>
      </c>
      <c r="D9" s="177" t="s">
        <v>941</v>
      </c>
      <c r="E9" s="177" t="s">
        <v>926</v>
      </c>
      <c r="F9" s="177" t="s">
        <v>926</v>
      </c>
      <c r="G9" s="178">
        <v>0.20499999999999999</v>
      </c>
      <c r="H9" t="s">
        <v>942</v>
      </c>
    </row>
    <row r="10" spans="1:8">
      <c r="A10">
        <v>2302</v>
      </c>
      <c r="B10" s="179" t="s">
        <v>943</v>
      </c>
      <c r="C10" s="25">
        <v>39.097799999999999</v>
      </c>
      <c r="D10" t="s">
        <v>926</v>
      </c>
      <c r="F10" s="177"/>
      <c r="G10" s="178">
        <v>0.20499999999999999</v>
      </c>
      <c r="H10" t="s">
        <v>944</v>
      </c>
    </row>
    <row r="11" spans="1:8">
      <c r="A11" s="176">
        <v>329</v>
      </c>
      <c r="B11" s="177" t="s">
        <v>627</v>
      </c>
      <c r="C11" s="177">
        <v>40.08</v>
      </c>
      <c r="D11" s="177" t="s">
        <v>945</v>
      </c>
      <c r="E11" s="177" t="s">
        <v>926</v>
      </c>
      <c r="F11" s="177" t="s">
        <v>926</v>
      </c>
      <c r="G11" s="178">
        <v>0.39900000000000002</v>
      </c>
      <c r="H11" t="s">
        <v>946</v>
      </c>
    </row>
    <row r="12" spans="1:8">
      <c r="A12">
        <v>2303</v>
      </c>
      <c r="B12" s="177" t="s">
        <v>947</v>
      </c>
      <c r="C12" s="180">
        <v>40.076999999999998</v>
      </c>
      <c r="D12" s="177"/>
      <c r="E12" s="177"/>
      <c r="F12" s="177"/>
      <c r="G12" s="178">
        <v>0.39900000000000002</v>
      </c>
      <c r="H12" t="s">
        <v>948</v>
      </c>
    </row>
    <row r="13" spans="1:8">
      <c r="A13">
        <v>715</v>
      </c>
      <c r="B13" s="177" t="s">
        <v>628</v>
      </c>
      <c r="C13" s="177">
        <v>47.87</v>
      </c>
      <c r="D13" s="177" t="s">
        <v>949</v>
      </c>
      <c r="E13" s="177" t="s">
        <v>926</v>
      </c>
      <c r="F13" s="177" t="s">
        <v>926</v>
      </c>
      <c r="G13" s="178">
        <v>0.66900000000000004</v>
      </c>
      <c r="H13" t="s">
        <v>950</v>
      </c>
    </row>
    <row r="14" spans="1:8">
      <c r="A14">
        <v>767</v>
      </c>
      <c r="B14" s="177" t="s">
        <v>629</v>
      </c>
      <c r="C14" s="177">
        <v>50.94</v>
      </c>
      <c r="D14" s="177" t="s">
        <v>951</v>
      </c>
      <c r="E14" s="177" t="s">
        <v>926</v>
      </c>
      <c r="F14" s="177" t="s">
        <v>926</v>
      </c>
      <c r="G14" s="178">
        <v>0.78500000000000003</v>
      </c>
      <c r="H14" t="s">
        <v>952</v>
      </c>
    </row>
    <row r="15" spans="1:8">
      <c r="A15">
        <v>347</v>
      </c>
      <c r="B15" s="177" t="s">
        <v>630</v>
      </c>
      <c r="C15" s="177">
        <v>52</v>
      </c>
      <c r="D15" s="177" t="s">
        <v>953</v>
      </c>
      <c r="E15" s="177" t="s">
        <v>954</v>
      </c>
      <c r="F15" s="177" t="s">
        <v>926</v>
      </c>
      <c r="G15" s="178">
        <v>0.69199999999999995</v>
      </c>
      <c r="H15" t="s">
        <v>955</v>
      </c>
    </row>
    <row r="16" spans="1:8">
      <c r="A16">
        <v>526</v>
      </c>
      <c r="B16" s="177" t="s">
        <v>631</v>
      </c>
      <c r="C16" s="177">
        <v>54.94</v>
      </c>
      <c r="D16" s="177" t="s">
        <v>956</v>
      </c>
      <c r="E16" s="177" t="s">
        <v>957</v>
      </c>
      <c r="F16" s="177" t="s">
        <v>958</v>
      </c>
      <c r="G16" s="178">
        <v>0.63100000000000001</v>
      </c>
      <c r="H16" t="s">
        <v>959</v>
      </c>
    </row>
    <row r="17" spans="1:8">
      <c r="A17">
        <v>488</v>
      </c>
      <c r="B17" s="177" t="s">
        <v>632</v>
      </c>
      <c r="C17" s="177">
        <v>55.85</v>
      </c>
      <c r="D17" s="177" t="s">
        <v>960</v>
      </c>
      <c r="E17" s="177" t="s">
        <v>961</v>
      </c>
      <c r="F17" s="177" t="s">
        <v>926</v>
      </c>
      <c r="G17" s="178">
        <v>0.35799999999999998</v>
      </c>
      <c r="H17" t="s">
        <v>962</v>
      </c>
    </row>
    <row r="18" spans="1:8">
      <c r="A18">
        <v>379</v>
      </c>
      <c r="B18" s="177" t="s">
        <v>633</v>
      </c>
      <c r="C18" s="177">
        <v>58.93</v>
      </c>
      <c r="D18" s="177" t="s">
        <v>963</v>
      </c>
      <c r="E18" s="177" t="s">
        <v>964</v>
      </c>
      <c r="F18" s="177" t="s">
        <v>926</v>
      </c>
      <c r="G18" s="178">
        <v>0.33900000000000002</v>
      </c>
      <c r="H18" t="s">
        <v>965</v>
      </c>
    </row>
    <row r="19" spans="1:8">
      <c r="A19">
        <v>612</v>
      </c>
      <c r="B19" s="177" t="s">
        <v>634</v>
      </c>
      <c r="C19" s="177">
        <v>58.69</v>
      </c>
      <c r="D19" s="177" t="s">
        <v>966</v>
      </c>
      <c r="E19" s="177" t="s">
        <v>926</v>
      </c>
      <c r="F19" s="177" t="s">
        <v>926</v>
      </c>
      <c r="G19" s="178">
        <v>0.27300000000000002</v>
      </c>
      <c r="H19" t="s">
        <v>967</v>
      </c>
    </row>
    <row r="20" spans="1:8">
      <c r="A20">
        <v>380</v>
      </c>
      <c r="B20" s="177" t="s">
        <v>635</v>
      </c>
      <c r="C20" s="177">
        <v>63.55</v>
      </c>
      <c r="D20" s="177" t="s">
        <v>968</v>
      </c>
      <c r="E20" s="177" t="s">
        <v>926</v>
      </c>
      <c r="F20" s="177" t="s">
        <v>926</v>
      </c>
      <c r="G20" s="178">
        <v>0.252</v>
      </c>
      <c r="H20" t="s">
        <v>969</v>
      </c>
    </row>
    <row r="21" spans="1:8">
      <c r="A21">
        <v>778</v>
      </c>
      <c r="B21" s="177" t="s">
        <v>636</v>
      </c>
      <c r="C21" s="177">
        <v>65.39</v>
      </c>
      <c r="D21" s="177" t="s">
        <v>970</v>
      </c>
      <c r="E21" s="177" t="s">
        <v>926</v>
      </c>
      <c r="F21" s="177" t="s">
        <v>926</v>
      </c>
      <c r="G21" s="178">
        <v>0.245</v>
      </c>
      <c r="H21" t="s">
        <v>971</v>
      </c>
    </row>
    <row r="22" spans="1:8">
      <c r="A22">
        <v>468</v>
      </c>
      <c r="B22" s="177" t="s">
        <v>637</v>
      </c>
      <c r="C22" s="177">
        <v>69.72</v>
      </c>
      <c r="D22" s="177" t="s">
        <v>972</v>
      </c>
      <c r="E22" s="177" t="s">
        <v>926</v>
      </c>
      <c r="F22" s="177" t="s">
        <v>926</v>
      </c>
      <c r="G22" s="178">
        <v>0.34399999999999997</v>
      </c>
      <c r="H22" t="s">
        <v>973</v>
      </c>
    </row>
    <row r="23" spans="1:8">
      <c r="A23">
        <v>298</v>
      </c>
      <c r="B23" s="177" t="s">
        <v>639</v>
      </c>
      <c r="C23" s="177">
        <v>74.92</v>
      </c>
      <c r="D23" s="177" t="s">
        <v>974</v>
      </c>
      <c r="E23" s="177" t="s">
        <v>975</v>
      </c>
      <c r="F23" s="177" t="s">
        <v>926</v>
      </c>
      <c r="G23" s="178">
        <v>0.42699999999999999</v>
      </c>
      <c r="H23" t="s">
        <v>976</v>
      </c>
    </row>
    <row r="24" spans="1:8">
      <c r="A24">
        <v>693</v>
      </c>
      <c r="B24" s="177" t="s">
        <v>640</v>
      </c>
      <c r="C24" s="177">
        <v>78.959999999999994</v>
      </c>
      <c r="D24" s="177" t="s">
        <v>977</v>
      </c>
      <c r="E24" s="177" t="s">
        <v>978</v>
      </c>
      <c r="F24" s="177" t="s">
        <v>979</v>
      </c>
      <c r="G24" s="178">
        <v>0.40500000000000003</v>
      </c>
      <c r="H24" t="s">
        <v>980</v>
      </c>
    </row>
    <row r="25" spans="1:8">
      <c r="A25">
        <v>689</v>
      </c>
      <c r="B25" s="177" t="s">
        <v>642</v>
      </c>
      <c r="C25" s="177">
        <v>85.47</v>
      </c>
      <c r="D25" s="177" t="s">
        <v>981</v>
      </c>
      <c r="E25" s="177" t="s">
        <v>926</v>
      </c>
      <c r="F25" s="177" t="s">
        <v>926</v>
      </c>
      <c r="G25" s="178">
        <v>9.4E-2</v>
      </c>
      <c r="H25" t="s">
        <v>982</v>
      </c>
    </row>
    <row r="26" spans="1:8">
      <c r="A26">
        <v>697</v>
      </c>
      <c r="B26" s="177" t="s">
        <v>643</v>
      </c>
      <c r="C26" s="177">
        <v>87.62</v>
      </c>
      <c r="D26" s="177" t="s">
        <v>983</v>
      </c>
      <c r="E26" s="177" t="s">
        <v>926</v>
      </c>
      <c r="F26" s="177" t="s">
        <v>926</v>
      </c>
      <c r="G26" s="178">
        <v>0.183</v>
      </c>
      <c r="H26" t="s">
        <v>984</v>
      </c>
    </row>
    <row r="27" spans="1:8">
      <c r="A27">
        <v>779</v>
      </c>
      <c r="B27" s="177" t="s">
        <v>645</v>
      </c>
      <c r="C27" s="177">
        <v>91.22</v>
      </c>
      <c r="D27" s="177" t="s">
        <v>985</v>
      </c>
      <c r="E27" s="177" t="s">
        <v>926</v>
      </c>
      <c r="F27" s="177" t="s">
        <v>926</v>
      </c>
      <c r="G27" s="178">
        <v>0.35099999999999998</v>
      </c>
      <c r="H27" t="s">
        <v>986</v>
      </c>
    </row>
    <row r="28" spans="1:8">
      <c r="A28">
        <v>586</v>
      </c>
      <c r="B28" s="177" t="s">
        <v>646</v>
      </c>
      <c r="C28" s="177">
        <v>95.94</v>
      </c>
      <c r="D28" s="177" t="s">
        <v>987</v>
      </c>
      <c r="E28" s="177" t="s">
        <v>988</v>
      </c>
      <c r="F28" s="177" t="s">
        <v>926</v>
      </c>
      <c r="G28" s="178">
        <v>0.41699999999999998</v>
      </c>
      <c r="H28" t="s">
        <v>989</v>
      </c>
    </row>
    <row r="29" spans="1:8">
      <c r="A29">
        <v>649</v>
      </c>
      <c r="B29" s="177" t="s">
        <v>647</v>
      </c>
      <c r="C29" s="177">
        <v>106.42</v>
      </c>
      <c r="D29" s="177" t="s">
        <v>990</v>
      </c>
      <c r="E29" s="177" t="s">
        <v>991</v>
      </c>
      <c r="F29" s="177" t="s">
        <v>926</v>
      </c>
      <c r="G29" s="178">
        <v>0.22600000000000001</v>
      </c>
      <c r="H29" t="s">
        <v>992</v>
      </c>
    </row>
    <row r="30" spans="1:8">
      <c r="A30">
        <v>695</v>
      </c>
      <c r="B30" s="177" t="s">
        <v>648</v>
      </c>
      <c r="C30" s="177">
        <v>107.87</v>
      </c>
      <c r="D30" s="177" t="s">
        <v>993</v>
      </c>
      <c r="E30" s="177" t="s">
        <v>926</v>
      </c>
      <c r="F30" s="177" t="s">
        <v>926</v>
      </c>
      <c r="G30" s="178">
        <v>7.3999999999999996E-2</v>
      </c>
      <c r="H30" t="s">
        <v>994</v>
      </c>
    </row>
    <row r="31" spans="1:8">
      <c r="A31">
        <v>328</v>
      </c>
      <c r="B31" s="177" t="s">
        <v>649</v>
      </c>
      <c r="C31" s="177">
        <v>112.41</v>
      </c>
      <c r="D31" s="177" t="s">
        <v>995</v>
      </c>
      <c r="E31" s="177" t="s">
        <v>926</v>
      </c>
      <c r="F31" s="177" t="s">
        <v>926</v>
      </c>
      <c r="G31" s="178">
        <v>0.14199999999999999</v>
      </c>
      <c r="H31" t="s">
        <v>996</v>
      </c>
    </row>
    <row r="32" spans="1:8">
      <c r="A32">
        <v>487</v>
      </c>
      <c r="B32" s="177" t="s">
        <v>650</v>
      </c>
      <c r="C32" s="177">
        <v>114.82</v>
      </c>
      <c r="D32" s="177" t="s">
        <v>997</v>
      </c>
      <c r="E32" s="177" t="s">
        <v>926</v>
      </c>
      <c r="F32" s="177" t="s">
        <v>926</v>
      </c>
      <c r="G32" s="178">
        <v>0.20899999999999999</v>
      </c>
      <c r="H32" t="s">
        <v>998</v>
      </c>
    </row>
    <row r="33" spans="1:8">
      <c r="A33">
        <v>714</v>
      </c>
      <c r="B33" s="177" t="s">
        <v>651</v>
      </c>
      <c r="C33" s="177">
        <v>118.71</v>
      </c>
      <c r="D33" s="177" t="s">
        <v>999</v>
      </c>
      <c r="E33" s="177" t="s">
        <v>1000</v>
      </c>
      <c r="F33" s="177" t="s">
        <v>926</v>
      </c>
      <c r="G33" s="178">
        <v>0.20200000000000001</v>
      </c>
      <c r="H33" t="s">
        <v>1001</v>
      </c>
    </row>
    <row r="34" spans="1:8">
      <c r="A34">
        <v>296</v>
      </c>
      <c r="B34" s="177" t="s">
        <v>652</v>
      </c>
      <c r="C34" s="177">
        <v>121.76</v>
      </c>
      <c r="D34" s="177" t="s">
        <v>1002</v>
      </c>
      <c r="E34" s="177" t="s">
        <v>1003</v>
      </c>
      <c r="F34" s="177" t="s">
        <v>926</v>
      </c>
      <c r="G34" s="178">
        <v>0.26300000000000001</v>
      </c>
      <c r="H34" t="s">
        <v>1004</v>
      </c>
    </row>
    <row r="35" spans="1:8">
      <c r="A35">
        <v>300</v>
      </c>
      <c r="B35" s="177" t="s">
        <v>653</v>
      </c>
      <c r="C35" s="177">
        <v>137.33000000000001</v>
      </c>
      <c r="D35" s="177" t="s">
        <v>1005</v>
      </c>
      <c r="E35" s="177" t="s">
        <v>926</v>
      </c>
      <c r="F35" s="177" t="s">
        <v>926</v>
      </c>
      <c r="G35" s="178">
        <v>0.11700000000000001</v>
      </c>
      <c r="H35" t="s">
        <v>1006</v>
      </c>
    </row>
    <row r="36" spans="1:8">
      <c r="A36">
        <v>519</v>
      </c>
      <c r="B36" s="177" t="s">
        <v>654</v>
      </c>
      <c r="C36" s="177">
        <v>138.91</v>
      </c>
      <c r="D36" s="177" t="s">
        <v>1007</v>
      </c>
      <c r="E36" s="177" t="s">
        <v>926</v>
      </c>
      <c r="F36" s="177" t="s">
        <v>926</v>
      </c>
      <c r="G36" s="178">
        <v>0.17299999999999999</v>
      </c>
      <c r="H36" t="s">
        <v>1008</v>
      </c>
    </row>
    <row r="37" spans="1:8">
      <c r="A37">
        <v>1861</v>
      </c>
      <c r="B37" s="177" t="s">
        <v>736</v>
      </c>
      <c r="C37" s="177">
        <v>140.12</v>
      </c>
      <c r="D37" s="177" t="s">
        <v>1009</v>
      </c>
      <c r="E37" s="177" t="s">
        <v>1010</v>
      </c>
      <c r="F37" s="177" t="s">
        <v>926</v>
      </c>
      <c r="G37" s="178">
        <v>0.2</v>
      </c>
      <c r="H37" t="s">
        <v>1011</v>
      </c>
    </row>
    <row r="38" spans="1:8">
      <c r="A38">
        <v>528</v>
      </c>
      <c r="B38" s="177" t="s">
        <v>655</v>
      </c>
      <c r="C38" s="177">
        <v>200.59</v>
      </c>
      <c r="D38" s="177" t="s">
        <v>1012</v>
      </c>
      <c r="E38" s="177" t="s">
        <v>1013</v>
      </c>
      <c r="F38" s="177" t="s">
        <v>926</v>
      </c>
      <c r="G38" s="178">
        <v>0.06</v>
      </c>
      <c r="H38" t="s">
        <v>1014</v>
      </c>
    </row>
    <row r="39" spans="1:8">
      <c r="A39">
        <v>520</v>
      </c>
      <c r="B39" s="177" t="s">
        <v>656</v>
      </c>
      <c r="C39" s="177">
        <v>207.2</v>
      </c>
      <c r="D39" s="177" t="s">
        <v>1015</v>
      </c>
      <c r="E39" s="177" t="s">
        <v>1016</v>
      </c>
      <c r="F39" s="177" t="s">
        <v>926</v>
      </c>
      <c r="G39" s="178">
        <v>0.11600000000000001</v>
      </c>
      <c r="H39" t="s">
        <v>1017</v>
      </c>
    </row>
    <row r="40" spans="1:8">
      <c r="B40" s="181"/>
      <c r="C40" s="181"/>
      <c r="D40" s="181"/>
      <c r="E40" s="181"/>
    </row>
    <row r="41" spans="1:8">
      <c r="B41" s="181"/>
      <c r="C41" s="181"/>
      <c r="D41" s="181"/>
      <c r="E41" s="181"/>
    </row>
    <row r="42" spans="1:8">
      <c r="B42" s="181"/>
      <c r="C42" s="181"/>
      <c r="D42" s="181"/>
      <c r="E42" s="181"/>
    </row>
    <row r="43" spans="1:8">
      <c r="B43" s="181"/>
      <c r="C43" s="181"/>
      <c r="D43" s="181"/>
      <c r="E43" s="181"/>
    </row>
    <row r="44" spans="1:8">
      <c r="B44" s="181"/>
      <c r="C44" s="181"/>
      <c r="D44" s="181"/>
      <c r="E44" s="181"/>
    </row>
    <row r="45" spans="1:8">
      <c r="B45" s="181"/>
      <c r="C45" s="181"/>
      <c r="D45" s="181"/>
      <c r="E45" s="181"/>
    </row>
    <row r="46" spans="1:8">
      <c r="B46" s="181"/>
      <c r="C46" s="181"/>
      <c r="D46" s="181"/>
      <c r="E46" s="181"/>
    </row>
    <row r="47" spans="1:8">
      <c r="B47" s="181"/>
      <c r="C47" s="181"/>
      <c r="D47" s="181"/>
      <c r="E47" s="181"/>
    </row>
    <row r="48" spans="1:8">
      <c r="B48" s="181"/>
      <c r="C48" s="181"/>
      <c r="D48" s="181"/>
      <c r="E48" s="181"/>
    </row>
    <row r="49" spans="2:5">
      <c r="B49" s="181"/>
      <c r="C49" s="181"/>
      <c r="D49" s="181"/>
      <c r="E49" s="181"/>
    </row>
    <row r="50" spans="2:5">
      <c r="B50" s="181"/>
      <c r="C50" s="181"/>
      <c r="D50" s="181"/>
      <c r="E50" s="181"/>
    </row>
    <row r="51" spans="2:5">
      <c r="B51" s="18"/>
      <c r="C51" s="18"/>
      <c r="D51" s="18"/>
      <c r="E51"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A237A-1269-4500-9DF0-83A2EFA82666}">
  <dimension ref="A1:C169"/>
  <sheetViews>
    <sheetView workbookViewId="0">
      <selection activeCell="A7" sqref="A7"/>
    </sheetView>
  </sheetViews>
  <sheetFormatPr defaultRowHeight="15"/>
  <cols>
    <col min="1" max="1" width="28.28515625" style="164" customWidth="1"/>
    <col min="2" max="2" width="86.7109375" style="36" bestFit="1" customWidth="1"/>
    <col min="3" max="3" width="25" style="36" bestFit="1" customWidth="1"/>
  </cols>
  <sheetData>
    <row r="1" spans="1:3">
      <c r="A1" s="162" t="s">
        <v>15</v>
      </c>
      <c r="B1" s="163" t="s">
        <v>16</v>
      </c>
      <c r="C1" s="163" t="s">
        <v>17</v>
      </c>
    </row>
    <row r="2" spans="1:3">
      <c r="A2" s="164" t="s">
        <v>18</v>
      </c>
      <c r="B2" s="36" t="s">
        <v>19</v>
      </c>
      <c r="C2" s="36" t="s">
        <v>20</v>
      </c>
    </row>
    <row r="3" spans="1:3">
      <c r="A3" s="164" t="s">
        <v>21</v>
      </c>
      <c r="B3" s="36" t="s">
        <v>22</v>
      </c>
      <c r="C3" s="36" t="s">
        <v>20</v>
      </c>
    </row>
    <row r="4" spans="1:3">
      <c r="A4" s="164" t="s">
        <v>23</v>
      </c>
      <c r="B4" s="36" t="s">
        <v>24</v>
      </c>
      <c r="C4" s="36" t="s">
        <v>20</v>
      </c>
    </row>
    <row r="5" spans="1:3">
      <c r="A5" s="164" t="s">
        <v>25</v>
      </c>
      <c r="B5" s="36" t="s">
        <v>26</v>
      </c>
      <c r="C5" s="36" t="s">
        <v>20</v>
      </c>
    </row>
    <row r="6" spans="1:3">
      <c r="A6" s="164" t="s">
        <v>27</v>
      </c>
      <c r="B6" s="36" t="s">
        <v>28</v>
      </c>
      <c r="C6" s="36" t="s">
        <v>20</v>
      </c>
    </row>
    <row r="7" spans="1:3">
      <c r="A7" s="164" t="s">
        <v>29</v>
      </c>
      <c r="B7" s="36" t="s">
        <v>30</v>
      </c>
      <c r="C7" s="36" t="s">
        <v>20</v>
      </c>
    </row>
    <row r="8" spans="1:3">
      <c r="A8" s="164" t="s">
        <v>31</v>
      </c>
      <c r="B8" s="36" t="s">
        <v>32</v>
      </c>
      <c r="C8" s="36" t="s">
        <v>20</v>
      </c>
    </row>
    <row r="9" spans="1:3">
      <c r="A9" s="164" t="s">
        <v>33</v>
      </c>
      <c r="B9" s="36" t="s">
        <v>34</v>
      </c>
      <c r="C9" s="36" t="s">
        <v>20</v>
      </c>
    </row>
    <row r="10" spans="1:3">
      <c r="A10" s="165" t="s">
        <v>35</v>
      </c>
      <c r="B10" s="36" t="s">
        <v>36</v>
      </c>
      <c r="C10" s="36" t="s">
        <v>37</v>
      </c>
    </row>
    <row r="11" spans="1:3">
      <c r="A11" s="166" t="s">
        <v>38</v>
      </c>
      <c r="B11" s="36" t="s">
        <v>39</v>
      </c>
      <c r="C11" s="36" t="s">
        <v>40</v>
      </c>
    </row>
    <row r="12" spans="1:3">
      <c r="A12" s="166" t="s">
        <v>41</v>
      </c>
      <c r="B12" s="36" t="s">
        <v>42</v>
      </c>
      <c r="C12" s="36" t="s">
        <v>43</v>
      </c>
    </row>
    <row r="13" spans="1:3">
      <c r="A13" s="166" t="s">
        <v>44</v>
      </c>
      <c r="B13" s="36" t="s">
        <v>45</v>
      </c>
      <c r="C13" s="36" t="s">
        <v>46</v>
      </c>
    </row>
    <row r="14" spans="1:3">
      <c r="A14" s="166" t="s">
        <v>47</v>
      </c>
      <c r="B14" s="36" t="s">
        <v>48</v>
      </c>
      <c r="C14" s="36" t="s">
        <v>43</v>
      </c>
    </row>
    <row r="15" spans="1:3">
      <c r="A15" s="166" t="s">
        <v>49</v>
      </c>
      <c r="B15" s="36" t="s">
        <v>50</v>
      </c>
      <c r="C15" s="36" t="s">
        <v>51</v>
      </c>
    </row>
    <row r="16" spans="1:3">
      <c r="A16" s="166" t="s">
        <v>52</v>
      </c>
      <c r="B16" s="36" t="s">
        <v>53</v>
      </c>
      <c r="C16" s="36" t="s">
        <v>51</v>
      </c>
    </row>
    <row r="17" spans="1:3">
      <c r="A17" s="166" t="s">
        <v>54</v>
      </c>
      <c r="B17" s="36" t="s">
        <v>55</v>
      </c>
      <c r="C17" s="36" t="s">
        <v>46</v>
      </c>
    </row>
    <row r="18" spans="1:3">
      <c r="A18" s="166" t="s">
        <v>56</v>
      </c>
      <c r="B18" s="36" t="s">
        <v>57</v>
      </c>
      <c r="C18" s="36" t="s">
        <v>58</v>
      </c>
    </row>
    <row r="19" spans="1:3">
      <c r="A19" s="166" t="s">
        <v>59</v>
      </c>
      <c r="B19" s="36" t="s">
        <v>60</v>
      </c>
      <c r="C19" s="36" t="s">
        <v>61</v>
      </c>
    </row>
    <row r="20" spans="1:3">
      <c r="A20" s="166" t="s">
        <v>62</v>
      </c>
      <c r="B20" s="36" t="s">
        <v>63</v>
      </c>
      <c r="C20" s="36" t="s">
        <v>64</v>
      </c>
    </row>
    <row r="21" spans="1:3">
      <c r="A21" s="166" t="s">
        <v>65</v>
      </c>
      <c r="B21" s="36" t="s">
        <v>66</v>
      </c>
      <c r="C21" s="36" t="s">
        <v>51</v>
      </c>
    </row>
    <row r="22" spans="1:3">
      <c r="A22" s="166" t="s">
        <v>67</v>
      </c>
      <c r="B22" s="36" t="s">
        <v>68</v>
      </c>
      <c r="C22" s="36" t="s">
        <v>46</v>
      </c>
    </row>
    <row r="23" spans="1:3">
      <c r="A23" s="166" t="s">
        <v>69</v>
      </c>
      <c r="B23" s="36" t="s">
        <v>70</v>
      </c>
      <c r="C23" s="36" t="s">
        <v>58</v>
      </c>
    </row>
    <row r="24" spans="1:3">
      <c r="A24" s="166" t="s">
        <v>71</v>
      </c>
      <c r="B24" s="36" t="s">
        <v>72</v>
      </c>
      <c r="C24" s="36" t="s">
        <v>61</v>
      </c>
    </row>
    <row r="25" spans="1:3">
      <c r="A25" s="166" t="s">
        <v>73</v>
      </c>
      <c r="B25" s="36" t="s">
        <v>74</v>
      </c>
      <c r="C25" s="36" t="s">
        <v>64</v>
      </c>
    </row>
    <row r="26" spans="1:3">
      <c r="A26" s="166" t="s">
        <v>75</v>
      </c>
      <c r="B26" s="36" t="s">
        <v>76</v>
      </c>
      <c r="C26" s="36" t="s">
        <v>51</v>
      </c>
    </row>
    <row r="27" spans="1:3">
      <c r="A27" s="164" t="s">
        <v>77</v>
      </c>
      <c r="B27" s="36" t="s">
        <v>78</v>
      </c>
      <c r="C27" s="36" t="s">
        <v>20</v>
      </c>
    </row>
    <row r="28" spans="1:3">
      <c r="A28" s="167" t="s">
        <v>79</v>
      </c>
      <c r="B28" s="36" t="s">
        <v>80</v>
      </c>
      <c r="C28" s="36" t="s">
        <v>20</v>
      </c>
    </row>
    <row r="29" spans="1:3">
      <c r="A29" s="164" t="s">
        <v>81</v>
      </c>
      <c r="B29" s="36" t="s">
        <v>82</v>
      </c>
      <c r="C29" s="36" t="s">
        <v>20</v>
      </c>
    </row>
    <row r="30" spans="1:3">
      <c r="A30" s="164" t="s">
        <v>83</v>
      </c>
      <c r="B30" s="36" t="s">
        <v>84</v>
      </c>
      <c r="C30" s="36" t="s">
        <v>85</v>
      </c>
    </row>
    <row r="31" spans="1:3" ht="17.25">
      <c r="A31" s="164" t="s">
        <v>86</v>
      </c>
      <c r="B31" s="36" t="s">
        <v>87</v>
      </c>
      <c r="C31" s="168" t="s">
        <v>88</v>
      </c>
    </row>
    <row r="32" spans="1:3" ht="17.25">
      <c r="A32" s="164" t="s">
        <v>89</v>
      </c>
      <c r="B32" s="36" t="s">
        <v>90</v>
      </c>
      <c r="C32" s="168" t="s">
        <v>88</v>
      </c>
    </row>
    <row r="33" spans="1:3" ht="17.25">
      <c r="A33" s="164" t="s">
        <v>91</v>
      </c>
      <c r="B33" s="36" t="s">
        <v>92</v>
      </c>
      <c r="C33" s="168" t="s">
        <v>93</v>
      </c>
    </row>
    <row r="34" spans="1:3" ht="17.25">
      <c r="A34" s="164" t="s">
        <v>94</v>
      </c>
      <c r="B34" s="36" t="s">
        <v>95</v>
      </c>
      <c r="C34" s="168" t="s">
        <v>93</v>
      </c>
    </row>
    <row r="35" spans="1:3">
      <c r="A35" s="164" t="s">
        <v>96</v>
      </c>
      <c r="B35" s="36" t="s">
        <v>97</v>
      </c>
      <c r="C35" s="168" t="s">
        <v>85</v>
      </c>
    </row>
    <row r="36" spans="1:3">
      <c r="A36" s="164" t="s">
        <v>98</v>
      </c>
      <c r="B36" s="36" t="s">
        <v>99</v>
      </c>
      <c r="C36" s="168" t="s">
        <v>85</v>
      </c>
    </row>
    <row r="37" spans="1:3">
      <c r="A37" s="164" t="s">
        <v>100</v>
      </c>
      <c r="B37" s="36" t="s">
        <v>101</v>
      </c>
      <c r="C37" s="168" t="s">
        <v>85</v>
      </c>
    </row>
    <row r="38" spans="1:3">
      <c r="A38" s="164" t="s">
        <v>102</v>
      </c>
      <c r="B38" s="36" t="s">
        <v>103</v>
      </c>
      <c r="C38" s="168" t="s">
        <v>85</v>
      </c>
    </row>
    <row r="39" spans="1:3">
      <c r="A39" s="164" t="s">
        <v>104</v>
      </c>
      <c r="B39" s="36" t="s">
        <v>105</v>
      </c>
      <c r="C39" s="168" t="s">
        <v>85</v>
      </c>
    </row>
    <row r="40" spans="1:3" ht="17.25">
      <c r="A40" s="164" t="s">
        <v>106</v>
      </c>
      <c r="B40" s="36" t="s">
        <v>107</v>
      </c>
      <c r="C40" s="36" t="s">
        <v>108</v>
      </c>
    </row>
    <row r="41" spans="1:3" ht="17.25">
      <c r="A41" s="164" t="s">
        <v>109</v>
      </c>
      <c r="B41" s="36" t="s">
        <v>110</v>
      </c>
      <c r="C41" s="36" t="s">
        <v>108</v>
      </c>
    </row>
    <row r="42" spans="1:3">
      <c r="A42" s="164" t="s">
        <v>111</v>
      </c>
      <c r="B42" s="36" t="s">
        <v>112</v>
      </c>
      <c r="C42" s="36" t="s">
        <v>46</v>
      </c>
    </row>
    <row r="43" spans="1:3" ht="17.25">
      <c r="A43" s="164" t="s">
        <v>113</v>
      </c>
      <c r="B43" s="36" t="s">
        <v>114</v>
      </c>
      <c r="C43" s="36" t="s">
        <v>115</v>
      </c>
    </row>
    <row r="44" spans="1:3" ht="17.25">
      <c r="A44" s="167" t="s">
        <v>116</v>
      </c>
      <c r="B44" s="36" t="s">
        <v>117</v>
      </c>
      <c r="C44" s="168" t="s">
        <v>118</v>
      </c>
    </row>
    <row r="45" spans="1:3" ht="17.25">
      <c r="A45" s="167" t="s">
        <v>119</v>
      </c>
      <c r="B45" s="36" t="s">
        <v>120</v>
      </c>
      <c r="C45" s="168" t="s">
        <v>118</v>
      </c>
    </row>
    <row r="46" spans="1:3" ht="17.25">
      <c r="A46" s="167" t="s">
        <v>121</v>
      </c>
      <c r="B46" s="36" t="s">
        <v>122</v>
      </c>
      <c r="C46" s="168" t="s">
        <v>118</v>
      </c>
    </row>
    <row r="47" spans="1:3" ht="17.25">
      <c r="A47" s="167" t="s">
        <v>123</v>
      </c>
      <c r="B47" s="36" t="s">
        <v>124</v>
      </c>
      <c r="C47" s="168" t="s">
        <v>118</v>
      </c>
    </row>
    <row r="48" spans="1:3" ht="17.25">
      <c r="A48" s="167" t="s">
        <v>125</v>
      </c>
      <c r="B48" s="36" t="s">
        <v>126</v>
      </c>
      <c r="C48" s="168" t="s">
        <v>118</v>
      </c>
    </row>
    <row r="49" spans="1:3" ht="17.25">
      <c r="A49" s="167" t="s">
        <v>127</v>
      </c>
      <c r="B49" s="36" t="s">
        <v>128</v>
      </c>
      <c r="C49" s="168" t="s">
        <v>118</v>
      </c>
    </row>
    <row r="50" spans="1:3" ht="17.25">
      <c r="A50" s="167" t="s">
        <v>129</v>
      </c>
      <c r="B50" s="36" t="s">
        <v>130</v>
      </c>
      <c r="C50" s="168" t="s">
        <v>118</v>
      </c>
    </row>
    <row r="51" spans="1:3" ht="17.25">
      <c r="A51" s="167" t="s">
        <v>131</v>
      </c>
      <c r="B51" s="36" t="s">
        <v>132</v>
      </c>
      <c r="C51" s="168" t="s">
        <v>118</v>
      </c>
    </row>
    <row r="52" spans="1:3" ht="17.25">
      <c r="A52" s="167" t="s">
        <v>133</v>
      </c>
      <c r="B52" s="36" t="s">
        <v>134</v>
      </c>
      <c r="C52" s="168" t="s">
        <v>118</v>
      </c>
    </row>
    <row r="53" spans="1:3" ht="17.25">
      <c r="A53" s="167" t="s">
        <v>135</v>
      </c>
      <c r="B53" s="36" t="s">
        <v>136</v>
      </c>
      <c r="C53" s="168" t="s">
        <v>118</v>
      </c>
    </row>
    <row r="54" spans="1:3" ht="17.25">
      <c r="A54" s="167" t="s">
        <v>137</v>
      </c>
      <c r="B54" s="36" t="s">
        <v>138</v>
      </c>
      <c r="C54" s="168" t="s">
        <v>118</v>
      </c>
    </row>
    <row r="55" spans="1:3" ht="17.25">
      <c r="A55" s="167" t="s">
        <v>139</v>
      </c>
      <c r="B55" s="36" t="s">
        <v>140</v>
      </c>
      <c r="C55" s="168" t="s">
        <v>118</v>
      </c>
    </row>
    <row r="56" spans="1:3" ht="17.25">
      <c r="A56" s="167" t="s">
        <v>141</v>
      </c>
      <c r="B56" s="36" t="s">
        <v>142</v>
      </c>
      <c r="C56" s="168" t="s">
        <v>118</v>
      </c>
    </row>
    <row r="57" spans="1:3" ht="17.25">
      <c r="A57" s="167" t="s">
        <v>143</v>
      </c>
      <c r="B57" s="36" t="s">
        <v>144</v>
      </c>
      <c r="C57" s="168" t="s">
        <v>118</v>
      </c>
    </row>
    <row r="58" spans="1:3" ht="17.25">
      <c r="A58" s="167" t="s">
        <v>145</v>
      </c>
      <c r="B58" s="36" t="s">
        <v>146</v>
      </c>
      <c r="C58" s="168" t="s">
        <v>118</v>
      </c>
    </row>
    <row r="59" spans="1:3" ht="17.25">
      <c r="A59" s="167" t="s">
        <v>147</v>
      </c>
      <c r="B59" s="36" t="s">
        <v>148</v>
      </c>
      <c r="C59" s="168" t="s">
        <v>118</v>
      </c>
    </row>
    <row r="60" spans="1:3" ht="17.25">
      <c r="A60" s="167" t="s">
        <v>149</v>
      </c>
      <c r="B60" s="36" t="s">
        <v>150</v>
      </c>
      <c r="C60" s="168" t="s">
        <v>118</v>
      </c>
    </row>
    <row r="61" spans="1:3" ht="17.25">
      <c r="A61" s="167" t="s">
        <v>151</v>
      </c>
      <c r="B61" s="36" t="s">
        <v>152</v>
      </c>
      <c r="C61" s="168" t="s">
        <v>118</v>
      </c>
    </row>
    <row r="62" spans="1:3" ht="17.25">
      <c r="A62" s="167" t="s">
        <v>153</v>
      </c>
      <c r="B62" s="36" t="s">
        <v>154</v>
      </c>
      <c r="C62" s="168" t="s">
        <v>118</v>
      </c>
    </row>
    <row r="63" spans="1:3" ht="17.25">
      <c r="A63" s="167" t="s">
        <v>155</v>
      </c>
      <c r="B63" s="36" t="s">
        <v>156</v>
      </c>
      <c r="C63" s="168" t="s">
        <v>118</v>
      </c>
    </row>
    <row r="64" spans="1:3" ht="17.25">
      <c r="A64" s="167" t="s">
        <v>157</v>
      </c>
      <c r="B64" s="36" t="s">
        <v>158</v>
      </c>
      <c r="C64" s="168" t="s">
        <v>118</v>
      </c>
    </row>
    <row r="65" spans="1:3" ht="17.25">
      <c r="A65" s="167" t="s">
        <v>159</v>
      </c>
      <c r="B65" s="36" t="s">
        <v>160</v>
      </c>
      <c r="C65" s="168" t="s">
        <v>118</v>
      </c>
    </row>
    <row r="66" spans="1:3" ht="17.25">
      <c r="A66" s="167" t="s">
        <v>161</v>
      </c>
      <c r="B66" s="36" t="s">
        <v>162</v>
      </c>
      <c r="C66" s="168" t="s">
        <v>118</v>
      </c>
    </row>
    <row r="67" spans="1:3" ht="17.25">
      <c r="A67" s="167" t="s">
        <v>163</v>
      </c>
      <c r="B67" s="36" t="s">
        <v>164</v>
      </c>
      <c r="C67" s="168" t="s">
        <v>118</v>
      </c>
    </row>
    <row r="68" spans="1:3" ht="17.25">
      <c r="A68" s="167" t="s">
        <v>165</v>
      </c>
      <c r="B68" s="36" t="s">
        <v>166</v>
      </c>
      <c r="C68" s="168" t="s">
        <v>118</v>
      </c>
    </row>
    <row r="69" spans="1:3" ht="17.25">
      <c r="A69" s="167" t="s">
        <v>167</v>
      </c>
      <c r="B69" s="36" t="s">
        <v>168</v>
      </c>
      <c r="C69" s="168" t="s">
        <v>118</v>
      </c>
    </row>
    <row r="70" spans="1:3" ht="17.25">
      <c r="A70" s="167" t="s">
        <v>169</v>
      </c>
      <c r="B70" s="36" t="s">
        <v>170</v>
      </c>
      <c r="C70" s="168" t="s">
        <v>118</v>
      </c>
    </row>
    <row r="71" spans="1:3" ht="17.25">
      <c r="A71" s="167" t="s">
        <v>171</v>
      </c>
      <c r="B71" s="36" t="s">
        <v>172</v>
      </c>
      <c r="C71" s="168" t="s">
        <v>118</v>
      </c>
    </row>
    <row r="72" spans="1:3" ht="17.25">
      <c r="A72" s="167" t="s">
        <v>173</v>
      </c>
      <c r="B72" s="36" t="s">
        <v>174</v>
      </c>
      <c r="C72" s="168" t="s">
        <v>118</v>
      </c>
    </row>
    <row r="73" spans="1:3" ht="17.25">
      <c r="A73" s="167" t="s">
        <v>175</v>
      </c>
      <c r="B73" s="36" t="s">
        <v>176</v>
      </c>
      <c r="C73" s="168" t="s">
        <v>118</v>
      </c>
    </row>
    <row r="74" spans="1:3" ht="17.25">
      <c r="A74" s="167" t="s">
        <v>177</v>
      </c>
      <c r="B74" s="36" t="s">
        <v>178</v>
      </c>
      <c r="C74" s="168" t="s">
        <v>118</v>
      </c>
    </row>
    <row r="75" spans="1:3" ht="17.25">
      <c r="A75" s="167" t="s">
        <v>179</v>
      </c>
      <c r="B75" s="36" t="s">
        <v>180</v>
      </c>
      <c r="C75" s="168" t="s">
        <v>118</v>
      </c>
    </row>
    <row r="76" spans="1:3" ht="17.25">
      <c r="A76" s="167" t="s">
        <v>181</v>
      </c>
      <c r="B76" s="36" t="s">
        <v>182</v>
      </c>
      <c r="C76" s="168" t="s">
        <v>118</v>
      </c>
    </row>
    <row r="77" spans="1:3" ht="17.25">
      <c r="A77" s="167" t="s">
        <v>183</v>
      </c>
      <c r="B77" s="36" t="s">
        <v>184</v>
      </c>
      <c r="C77" s="168" t="s">
        <v>118</v>
      </c>
    </row>
    <row r="78" spans="1:3" ht="17.25">
      <c r="A78" s="167" t="s">
        <v>185</v>
      </c>
      <c r="B78" s="36" t="s">
        <v>186</v>
      </c>
      <c r="C78" s="168" t="s">
        <v>118</v>
      </c>
    </row>
    <row r="79" spans="1:3" ht="17.25">
      <c r="A79" s="167" t="s">
        <v>187</v>
      </c>
      <c r="B79" s="36" t="s">
        <v>188</v>
      </c>
      <c r="C79" s="168" t="s">
        <v>118</v>
      </c>
    </row>
    <row r="80" spans="1:3" ht="17.25">
      <c r="A80" s="167" t="s">
        <v>189</v>
      </c>
      <c r="B80" s="36" t="s">
        <v>190</v>
      </c>
      <c r="C80" s="168" t="s">
        <v>118</v>
      </c>
    </row>
    <row r="81" spans="1:3" ht="17.25">
      <c r="A81" s="167" t="s">
        <v>191</v>
      </c>
      <c r="B81" s="36" t="s">
        <v>192</v>
      </c>
      <c r="C81" s="168" t="s">
        <v>118</v>
      </c>
    </row>
    <row r="82" spans="1:3" ht="17.25">
      <c r="A82" s="167" t="s">
        <v>193</v>
      </c>
      <c r="B82" s="36" t="s">
        <v>194</v>
      </c>
      <c r="C82" s="36" t="s">
        <v>195</v>
      </c>
    </row>
    <row r="83" spans="1:3">
      <c r="A83" s="164" t="s">
        <v>196</v>
      </c>
      <c r="B83" s="36" t="s">
        <v>197</v>
      </c>
      <c r="C83" s="36" t="s">
        <v>198</v>
      </c>
    </row>
    <row r="84" spans="1:3">
      <c r="A84" s="164" t="s">
        <v>199</v>
      </c>
      <c r="B84" s="36" t="s">
        <v>200</v>
      </c>
      <c r="C84" s="36" t="s">
        <v>198</v>
      </c>
    </row>
    <row r="85" spans="1:3">
      <c r="A85" s="164" t="s">
        <v>201</v>
      </c>
      <c r="B85" s="36" t="s">
        <v>202</v>
      </c>
      <c r="C85" s="36" t="s">
        <v>198</v>
      </c>
    </row>
    <row r="86" spans="1:3">
      <c r="A86" s="164" t="s">
        <v>203</v>
      </c>
      <c r="B86" s="36" t="s">
        <v>204</v>
      </c>
      <c r="C86" s="36" t="s">
        <v>198</v>
      </c>
    </row>
    <row r="87" spans="1:3">
      <c r="A87" s="164" t="s">
        <v>205</v>
      </c>
      <c r="B87" s="36" t="s">
        <v>206</v>
      </c>
      <c r="C87" s="36" t="s">
        <v>198</v>
      </c>
    </row>
    <row r="88" spans="1:3">
      <c r="A88" s="164" t="s">
        <v>207</v>
      </c>
      <c r="B88" s="36" t="s">
        <v>208</v>
      </c>
      <c r="C88" s="36" t="s">
        <v>198</v>
      </c>
    </row>
    <row r="89" spans="1:3">
      <c r="A89" s="164" t="s">
        <v>209</v>
      </c>
      <c r="B89" s="36" t="s">
        <v>210</v>
      </c>
      <c r="C89" s="36" t="s">
        <v>198</v>
      </c>
    </row>
    <row r="90" spans="1:3">
      <c r="A90" s="166" t="s">
        <v>211</v>
      </c>
      <c r="B90" s="36" t="s">
        <v>212</v>
      </c>
      <c r="C90" s="36" t="s">
        <v>46</v>
      </c>
    </row>
    <row r="91" spans="1:3">
      <c r="A91" s="166" t="s">
        <v>213</v>
      </c>
      <c r="B91" s="36" t="s">
        <v>214</v>
      </c>
      <c r="C91" s="36" t="s">
        <v>46</v>
      </c>
    </row>
    <row r="92" spans="1:3">
      <c r="A92" s="166" t="s">
        <v>215</v>
      </c>
      <c r="B92" s="36" t="s">
        <v>216</v>
      </c>
      <c r="C92" s="36" t="s">
        <v>46</v>
      </c>
    </row>
    <row r="93" spans="1:3">
      <c r="A93" s="166" t="s">
        <v>217</v>
      </c>
      <c r="B93" s="36" t="s">
        <v>218</v>
      </c>
      <c r="C93" s="36" t="s">
        <v>219</v>
      </c>
    </row>
    <row r="94" spans="1:3">
      <c r="A94" s="166" t="s">
        <v>220</v>
      </c>
      <c r="B94" s="36" t="s">
        <v>221</v>
      </c>
      <c r="C94" s="36" t="s">
        <v>219</v>
      </c>
    </row>
    <row r="95" spans="1:3">
      <c r="A95" s="166" t="s">
        <v>222</v>
      </c>
      <c r="B95" s="36" t="s">
        <v>223</v>
      </c>
      <c r="C95" s="36" t="s">
        <v>219</v>
      </c>
    </row>
    <row r="96" spans="1:3">
      <c r="A96" s="166" t="s">
        <v>224</v>
      </c>
      <c r="B96" s="169" t="s">
        <v>225</v>
      </c>
      <c r="C96" s="36" t="s">
        <v>219</v>
      </c>
    </row>
    <row r="97" spans="1:3">
      <c r="A97" s="166" t="s">
        <v>226</v>
      </c>
      <c r="B97" s="36" t="s">
        <v>227</v>
      </c>
      <c r="C97" s="36" t="s">
        <v>219</v>
      </c>
    </row>
    <row r="98" spans="1:3">
      <c r="A98" s="166" t="s">
        <v>228</v>
      </c>
      <c r="B98" s="36" t="s">
        <v>229</v>
      </c>
      <c r="C98" s="36" t="s">
        <v>219</v>
      </c>
    </row>
    <row r="99" spans="1:3">
      <c r="A99" s="166" t="s">
        <v>230</v>
      </c>
      <c r="B99" s="36" t="s">
        <v>231</v>
      </c>
      <c r="C99" s="36" t="s">
        <v>219</v>
      </c>
    </row>
    <row r="100" spans="1:3">
      <c r="A100" s="166" t="s">
        <v>232</v>
      </c>
      <c r="B100" s="36" t="s">
        <v>233</v>
      </c>
      <c r="C100" s="36" t="s">
        <v>219</v>
      </c>
    </row>
    <row r="101" spans="1:3" ht="17.25">
      <c r="A101" s="166" t="s">
        <v>234</v>
      </c>
      <c r="B101" s="36" t="s">
        <v>235</v>
      </c>
      <c r="C101" s="36" t="s">
        <v>195</v>
      </c>
    </row>
    <row r="102" spans="1:3" ht="17.25">
      <c r="A102" s="166" t="s">
        <v>236</v>
      </c>
      <c r="B102" s="36" t="s">
        <v>237</v>
      </c>
      <c r="C102" s="36" t="s">
        <v>195</v>
      </c>
    </row>
    <row r="103" spans="1:3" ht="17.25">
      <c r="A103" s="166" t="s">
        <v>238</v>
      </c>
      <c r="B103" s="36" t="s">
        <v>239</v>
      </c>
      <c r="C103" s="36" t="s">
        <v>195</v>
      </c>
    </row>
    <row r="104" spans="1:3" ht="17.25">
      <c r="A104" s="166" t="s">
        <v>240</v>
      </c>
      <c r="B104" s="36" t="s">
        <v>241</v>
      </c>
      <c r="C104" s="36" t="s">
        <v>195</v>
      </c>
    </row>
    <row r="105" spans="1:3" ht="17.25">
      <c r="A105" s="166" t="s">
        <v>242</v>
      </c>
      <c r="B105" s="36" t="s">
        <v>243</v>
      </c>
      <c r="C105" s="36" t="s">
        <v>195</v>
      </c>
    </row>
    <row r="106" spans="1:3" ht="17.25">
      <c r="A106" s="166" t="s">
        <v>244</v>
      </c>
      <c r="B106" s="36" t="s">
        <v>245</v>
      </c>
      <c r="C106" s="36" t="s">
        <v>195</v>
      </c>
    </row>
    <row r="107" spans="1:3" ht="17.25">
      <c r="A107" s="166" t="s">
        <v>246</v>
      </c>
      <c r="B107" s="36" t="s">
        <v>247</v>
      </c>
      <c r="C107" s="36" t="s">
        <v>195</v>
      </c>
    </row>
    <row r="108" spans="1:3" ht="17.25">
      <c r="A108" s="166" t="s">
        <v>248</v>
      </c>
      <c r="B108" s="36" t="s">
        <v>249</v>
      </c>
      <c r="C108" s="36" t="s">
        <v>195</v>
      </c>
    </row>
    <row r="109" spans="1:3" ht="17.25">
      <c r="A109" s="166" t="s">
        <v>250</v>
      </c>
      <c r="B109" s="36" t="s">
        <v>251</v>
      </c>
      <c r="C109" s="36" t="s">
        <v>195</v>
      </c>
    </row>
    <row r="110" spans="1:3" ht="17.25">
      <c r="A110" s="166" t="s">
        <v>252</v>
      </c>
      <c r="B110" s="36" t="s">
        <v>253</v>
      </c>
      <c r="C110" s="36" t="s">
        <v>195</v>
      </c>
    </row>
    <row r="111" spans="1:3" ht="17.25">
      <c r="A111" s="166" t="s">
        <v>254</v>
      </c>
      <c r="B111" s="36" t="s">
        <v>255</v>
      </c>
      <c r="C111" s="36" t="s">
        <v>195</v>
      </c>
    </row>
    <row r="112" spans="1:3" ht="17.25">
      <c r="A112" s="166" t="s">
        <v>256</v>
      </c>
      <c r="B112" s="36" t="s">
        <v>257</v>
      </c>
      <c r="C112" s="36" t="s">
        <v>195</v>
      </c>
    </row>
    <row r="113" spans="1:3" ht="17.25">
      <c r="A113" s="166" t="s">
        <v>258</v>
      </c>
      <c r="B113" s="36" t="s">
        <v>259</v>
      </c>
      <c r="C113" s="36" t="s">
        <v>260</v>
      </c>
    </row>
    <row r="114" spans="1:3" ht="17.25">
      <c r="A114" s="166" t="s">
        <v>261</v>
      </c>
      <c r="B114" s="36" t="s">
        <v>262</v>
      </c>
      <c r="C114" s="36" t="s">
        <v>260</v>
      </c>
    </row>
    <row r="115" spans="1:3" ht="17.25">
      <c r="A115" s="166" t="s">
        <v>263</v>
      </c>
      <c r="B115" s="36" t="s">
        <v>264</v>
      </c>
      <c r="C115" s="36" t="s">
        <v>260</v>
      </c>
    </row>
    <row r="116" spans="1:3" ht="17.25">
      <c r="A116" s="166" t="s">
        <v>265</v>
      </c>
      <c r="B116" s="36" t="s">
        <v>266</v>
      </c>
      <c r="C116" s="36" t="s">
        <v>260</v>
      </c>
    </row>
    <row r="117" spans="1:3" ht="17.25">
      <c r="A117" s="166" t="s">
        <v>267</v>
      </c>
      <c r="B117" s="36" t="s">
        <v>268</v>
      </c>
      <c r="C117" s="36" t="s">
        <v>260</v>
      </c>
    </row>
    <row r="118" spans="1:3" ht="17.25">
      <c r="A118" s="166" t="s">
        <v>269</v>
      </c>
      <c r="B118" s="36" t="s">
        <v>270</v>
      </c>
      <c r="C118" s="36" t="s">
        <v>260</v>
      </c>
    </row>
    <row r="119" spans="1:3" ht="17.25">
      <c r="A119" s="166" t="s">
        <v>271</v>
      </c>
      <c r="B119" s="36" t="s">
        <v>272</v>
      </c>
      <c r="C119" s="36" t="s">
        <v>273</v>
      </c>
    </row>
    <row r="120" spans="1:3" ht="17.25">
      <c r="A120" s="166" t="s">
        <v>274</v>
      </c>
      <c r="B120" s="36" t="s">
        <v>275</v>
      </c>
      <c r="C120" s="36" t="s">
        <v>273</v>
      </c>
    </row>
    <row r="121" spans="1:3" ht="17.25">
      <c r="A121" s="164">
        <v>6.04</v>
      </c>
      <c r="B121" s="36" t="s">
        <v>276</v>
      </c>
      <c r="C121" s="36" t="s">
        <v>277</v>
      </c>
    </row>
    <row r="122" spans="1:3" ht="17.25">
      <c r="A122" s="164">
        <v>6.98</v>
      </c>
      <c r="B122" s="36" t="s">
        <v>278</v>
      </c>
      <c r="C122" s="36" t="s">
        <v>277</v>
      </c>
    </row>
    <row r="123" spans="1:3" ht="17.25">
      <c r="A123" s="164">
        <v>8.06</v>
      </c>
      <c r="B123" s="36" t="s">
        <v>279</v>
      </c>
      <c r="C123" s="36" t="s">
        <v>277</v>
      </c>
    </row>
    <row r="124" spans="1:3" ht="17.25">
      <c r="A124" s="164">
        <v>9.31</v>
      </c>
      <c r="B124" s="36" t="s">
        <v>280</v>
      </c>
      <c r="C124" s="36" t="s">
        <v>277</v>
      </c>
    </row>
    <row r="125" spans="1:3" ht="17.25">
      <c r="A125" s="164">
        <v>10.8</v>
      </c>
      <c r="B125" s="36" t="s">
        <v>281</v>
      </c>
      <c r="C125" s="36" t="s">
        <v>277</v>
      </c>
    </row>
    <row r="126" spans="1:3" ht="17.25">
      <c r="A126" s="164">
        <v>12.4</v>
      </c>
      <c r="B126" s="36" t="s">
        <v>282</v>
      </c>
      <c r="C126" s="36" t="s">
        <v>277</v>
      </c>
    </row>
    <row r="127" spans="1:3" ht="17.25">
      <c r="A127" s="164">
        <v>14.3</v>
      </c>
      <c r="B127" s="36" t="s">
        <v>283</v>
      </c>
      <c r="C127" s="36" t="s">
        <v>277</v>
      </c>
    </row>
    <row r="128" spans="1:3" ht="17.25">
      <c r="A128" s="164">
        <v>16.5</v>
      </c>
      <c r="B128" s="36" t="s">
        <v>284</v>
      </c>
      <c r="C128" s="36" t="s">
        <v>277</v>
      </c>
    </row>
    <row r="129" spans="1:3" ht="17.25">
      <c r="A129" s="164">
        <v>19.100000000000001</v>
      </c>
      <c r="B129" s="36" t="s">
        <v>285</v>
      </c>
      <c r="C129" s="36" t="s">
        <v>277</v>
      </c>
    </row>
    <row r="130" spans="1:3" ht="17.25">
      <c r="A130" s="164">
        <v>22.1</v>
      </c>
      <c r="B130" s="36" t="s">
        <v>286</v>
      </c>
      <c r="C130" s="36" t="s">
        <v>277</v>
      </c>
    </row>
    <row r="131" spans="1:3" ht="17.25">
      <c r="A131" s="164">
        <v>25.5</v>
      </c>
      <c r="B131" s="36" t="s">
        <v>287</v>
      </c>
      <c r="C131" s="36" t="s">
        <v>277</v>
      </c>
    </row>
    <row r="132" spans="1:3" ht="17.25">
      <c r="A132" s="164">
        <v>29.4</v>
      </c>
      <c r="B132" s="36" t="s">
        <v>288</v>
      </c>
      <c r="C132" s="36" t="s">
        <v>277</v>
      </c>
    </row>
    <row r="133" spans="1:3" ht="17.25">
      <c r="A133" s="164">
        <v>34</v>
      </c>
      <c r="B133" s="36" t="s">
        <v>289</v>
      </c>
      <c r="C133" s="36" t="s">
        <v>277</v>
      </c>
    </row>
    <row r="134" spans="1:3" ht="17.25">
      <c r="A134" s="164">
        <v>39.200000000000003</v>
      </c>
      <c r="B134" s="36" t="s">
        <v>290</v>
      </c>
      <c r="C134" s="36" t="s">
        <v>277</v>
      </c>
    </row>
    <row r="135" spans="1:3" ht="17.25">
      <c r="A135" s="164">
        <v>45.3</v>
      </c>
      <c r="B135" s="36" t="s">
        <v>291</v>
      </c>
      <c r="C135" s="36" t="s">
        <v>277</v>
      </c>
    </row>
    <row r="136" spans="1:3" ht="17.25">
      <c r="A136" s="164">
        <v>52.3</v>
      </c>
      <c r="B136" s="36" t="s">
        <v>292</v>
      </c>
      <c r="C136" s="36" t="s">
        <v>277</v>
      </c>
    </row>
    <row r="137" spans="1:3" ht="17.25">
      <c r="A137" s="164">
        <v>60.4</v>
      </c>
      <c r="B137" s="36" t="s">
        <v>293</v>
      </c>
      <c r="C137" s="36" t="s">
        <v>277</v>
      </c>
    </row>
    <row r="138" spans="1:3" ht="17.25">
      <c r="A138" s="164">
        <v>69.8</v>
      </c>
      <c r="B138" s="36" t="s">
        <v>294</v>
      </c>
      <c r="C138" s="36" t="s">
        <v>277</v>
      </c>
    </row>
    <row r="139" spans="1:3" ht="17.25">
      <c r="A139" s="164">
        <v>80.599999999999994</v>
      </c>
      <c r="B139" s="36" t="s">
        <v>295</v>
      </c>
      <c r="C139" s="36" t="s">
        <v>277</v>
      </c>
    </row>
    <row r="140" spans="1:3" ht="17.25">
      <c r="A140" s="164">
        <v>93.1</v>
      </c>
      <c r="B140" s="36" t="s">
        <v>296</v>
      </c>
      <c r="C140" s="36" t="s">
        <v>277</v>
      </c>
    </row>
    <row r="141" spans="1:3" ht="17.25">
      <c r="A141" s="164">
        <v>107.5</v>
      </c>
      <c r="B141" s="36" t="s">
        <v>297</v>
      </c>
      <c r="C141" s="36" t="s">
        <v>277</v>
      </c>
    </row>
    <row r="142" spans="1:3" ht="17.25">
      <c r="A142" s="164">
        <v>124.1</v>
      </c>
      <c r="B142" s="36" t="s">
        <v>298</v>
      </c>
      <c r="C142" s="36" t="s">
        <v>277</v>
      </c>
    </row>
    <row r="143" spans="1:3" ht="17.25">
      <c r="A143" s="164">
        <v>143.30000000000001</v>
      </c>
      <c r="B143" s="36" t="s">
        <v>299</v>
      </c>
      <c r="C143" s="36" t="s">
        <v>277</v>
      </c>
    </row>
    <row r="144" spans="1:3" ht="17.25">
      <c r="A144" s="164">
        <v>165.5</v>
      </c>
      <c r="B144" s="36" t="s">
        <v>300</v>
      </c>
      <c r="C144" s="36" t="s">
        <v>277</v>
      </c>
    </row>
    <row r="145" spans="1:3" ht="17.25">
      <c r="A145" s="164">
        <v>191.1</v>
      </c>
      <c r="B145" s="36" t="s">
        <v>301</v>
      </c>
      <c r="C145" s="36" t="s">
        <v>277</v>
      </c>
    </row>
    <row r="146" spans="1:3" ht="17.25">
      <c r="A146" s="164">
        <v>220.7</v>
      </c>
      <c r="B146" s="36" t="s">
        <v>302</v>
      </c>
      <c r="C146" s="36" t="s">
        <v>277</v>
      </c>
    </row>
    <row r="147" spans="1:3" ht="17.25">
      <c r="A147" s="164">
        <v>254.8</v>
      </c>
      <c r="B147" s="36" t="s">
        <v>303</v>
      </c>
      <c r="C147" s="36" t="s">
        <v>277</v>
      </c>
    </row>
    <row r="148" spans="1:3" ht="17.25">
      <c r="A148" s="164">
        <v>294.3</v>
      </c>
      <c r="B148" s="36" t="s">
        <v>304</v>
      </c>
      <c r="C148" s="36" t="s">
        <v>277</v>
      </c>
    </row>
    <row r="149" spans="1:3" ht="17.25">
      <c r="A149" s="164">
        <v>339.8</v>
      </c>
      <c r="B149" s="36" t="s">
        <v>305</v>
      </c>
      <c r="C149" s="36" t="s">
        <v>277</v>
      </c>
    </row>
    <row r="150" spans="1:3" ht="17.25">
      <c r="A150" s="164">
        <v>392.4</v>
      </c>
      <c r="B150" s="36" t="s">
        <v>306</v>
      </c>
      <c r="C150" s="36" t="s">
        <v>277</v>
      </c>
    </row>
    <row r="151" spans="1:3" ht="17.25">
      <c r="A151" s="164">
        <v>453.2</v>
      </c>
      <c r="B151" s="36" t="s">
        <v>307</v>
      </c>
      <c r="C151" s="36" t="s">
        <v>277</v>
      </c>
    </row>
    <row r="152" spans="1:3" ht="17.25">
      <c r="A152" s="164">
        <v>523.29999999999995</v>
      </c>
      <c r="B152" s="36" t="s">
        <v>308</v>
      </c>
      <c r="C152" s="36" t="s">
        <v>277</v>
      </c>
    </row>
    <row r="153" spans="1:3">
      <c r="A153" s="164" t="s">
        <v>309</v>
      </c>
      <c r="B153" s="36" t="s">
        <v>310</v>
      </c>
      <c r="C153" s="36" t="s">
        <v>198</v>
      </c>
    </row>
    <row r="154" spans="1:3">
      <c r="A154" s="164" t="s">
        <v>311</v>
      </c>
      <c r="B154" s="36" t="s">
        <v>312</v>
      </c>
      <c r="C154" s="36" t="s">
        <v>198</v>
      </c>
    </row>
    <row r="155" spans="1:3">
      <c r="A155" s="164" t="s">
        <v>313</v>
      </c>
      <c r="B155" s="36" t="s">
        <v>314</v>
      </c>
      <c r="C155" s="36" t="s">
        <v>198</v>
      </c>
    </row>
    <row r="156" spans="1:3">
      <c r="A156" s="164" t="s">
        <v>315</v>
      </c>
      <c r="B156" s="36" t="s">
        <v>316</v>
      </c>
      <c r="C156" s="36" t="s">
        <v>20</v>
      </c>
    </row>
    <row r="157" spans="1:3">
      <c r="A157" s="164" t="s">
        <v>317</v>
      </c>
      <c r="B157" s="36" t="s">
        <v>318</v>
      </c>
      <c r="C157" s="36" t="s">
        <v>20</v>
      </c>
    </row>
    <row r="158" spans="1:3">
      <c r="A158" s="164" t="s">
        <v>319</v>
      </c>
      <c r="B158" s="36" t="s">
        <v>320</v>
      </c>
      <c r="C158" s="36" t="s">
        <v>20</v>
      </c>
    </row>
    <row r="159" spans="1:3">
      <c r="A159" s="164" t="s">
        <v>321</v>
      </c>
      <c r="B159" s="36" t="s">
        <v>322</v>
      </c>
      <c r="C159" s="36" t="s">
        <v>20</v>
      </c>
    </row>
    <row r="160" spans="1:3">
      <c r="A160" s="164" t="s">
        <v>323</v>
      </c>
      <c r="B160" s="36" t="s">
        <v>324</v>
      </c>
      <c r="C160" s="36" t="s">
        <v>20</v>
      </c>
    </row>
    <row r="161" spans="1:3">
      <c r="A161" s="164" t="s">
        <v>325</v>
      </c>
      <c r="B161" s="36" t="s">
        <v>326</v>
      </c>
      <c r="C161" s="36" t="s">
        <v>20</v>
      </c>
    </row>
    <row r="162" spans="1:3">
      <c r="A162" s="164" t="s">
        <v>327</v>
      </c>
      <c r="B162" s="36" t="s">
        <v>328</v>
      </c>
      <c r="C162" s="36" t="s">
        <v>20</v>
      </c>
    </row>
    <row r="163" spans="1:3">
      <c r="A163" s="164" t="s">
        <v>329</v>
      </c>
      <c r="B163" s="36" t="s">
        <v>330</v>
      </c>
      <c r="C163" s="36" t="s">
        <v>20</v>
      </c>
    </row>
    <row r="164" spans="1:3">
      <c r="A164" s="164" t="s">
        <v>331</v>
      </c>
      <c r="B164" s="36" t="s">
        <v>332</v>
      </c>
      <c r="C164" s="36" t="s">
        <v>46</v>
      </c>
    </row>
    <row r="165" spans="1:3">
      <c r="A165" s="164" t="s">
        <v>333</v>
      </c>
      <c r="B165" s="36" t="s">
        <v>334</v>
      </c>
      <c r="C165" s="36" t="s">
        <v>46</v>
      </c>
    </row>
    <row r="166" spans="1:3">
      <c r="A166" s="164" t="s">
        <v>335</v>
      </c>
      <c r="B166" s="36" t="s">
        <v>336</v>
      </c>
      <c r="C166" s="36" t="s">
        <v>46</v>
      </c>
    </row>
    <row r="167" spans="1:3">
      <c r="A167" s="164" t="s">
        <v>337</v>
      </c>
      <c r="B167" s="36" t="s">
        <v>338</v>
      </c>
      <c r="C167" s="36" t="s">
        <v>339</v>
      </c>
    </row>
    <row r="168" spans="1:3">
      <c r="A168" s="164" t="s">
        <v>340</v>
      </c>
      <c r="B168" s="36" t="s">
        <v>341</v>
      </c>
      <c r="C168" s="36" t="s">
        <v>339</v>
      </c>
    </row>
    <row r="169" spans="1:3">
      <c r="A169" s="170" t="s">
        <v>342</v>
      </c>
      <c r="B169" s="36" t="s">
        <v>343</v>
      </c>
      <c r="C169" s="36" t="s">
        <v>20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6E9E4-AA83-4BBD-AD31-83D94A57679A}">
  <dimension ref="A1:HM35"/>
  <sheetViews>
    <sheetView zoomScale="80" zoomScaleNormal="80" workbookViewId="0">
      <pane xSplit="5" ySplit="1" topLeftCell="F2" activePane="bottomRight" state="frozenSplit"/>
      <selection pane="topRight" activeCell="A7" sqref="A7"/>
      <selection pane="bottomLeft" activeCell="A7" sqref="A7"/>
      <selection pane="bottomRight" activeCell="A7" sqref="A7"/>
    </sheetView>
  </sheetViews>
  <sheetFormatPr defaultRowHeight="15"/>
  <cols>
    <col min="1" max="1" width="10.42578125" bestFit="1" customWidth="1"/>
    <col min="2" max="2" width="11.140625" customWidth="1"/>
    <col min="3" max="3" width="15.42578125" customWidth="1"/>
    <col min="4" max="4" width="10.28515625" customWidth="1"/>
    <col min="5" max="5" width="16.5703125" customWidth="1"/>
    <col min="6" max="7" width="10.7109375" customWidth="1"/>
    <col min="8" max="8" width="10.7109375" bestFit="1" customWidth="1"/>
    <col min="9" max="9" width="10.5703125" bestFit="1" customWidth="1"/>
    <col min="60" max="60" width="11.5703125" bestFit="1" customWidth="1"/>
    <col min="61" max="61" width="9.5703125" customWidth="1"/>
    <col min="102" max="102" width="9.5703125" bestFit="1" customWidth="1"/>
  </cols>
  <sheetData>
    <row r="1" spans="1:221" ht="45">
      <c r="A1" s="16" t="s">
        <v>18</v>
      </c>
      <c r="B1" s="12" t="s">
        <v>21</v>
      </c>
      <c r="C1" s="12" t="s">
        <v>23</v>
      </c>
      <c r="D1" s="12" t="s">
        <v>25</v>
      </c>
      <c r="E1" s="12" t="s">
        <v>77</v>
      </c>
      <c r="F1" s="12" t="s">
        <v>27</v>
      </c>
      <c r="G1" s="12" t="s">
        <v>29</v>
      </c>
      <c r="H1" s="90" t="s">
        <v>79</v>
      </c>
      <c r="I1" s="12" t="s">
        <v>81</v>
      </c>
      <c r="J1" s="12" t="s">
        <v>83</v>
      </c>
      <c r="K1" s="90" t="s">
        <v>116</v>
      </c>
      <c r="L1" s="90" t="s">
        <v>119</v>
      </c>
      <c r="M1" s="90" t="s">
        <v>121</v>
      </c>
      <c r="N1" s="90" t="s">
        <v>123</v>
      </c>
      <c r="O1" s="90" t="s">
        <v>125</v>
      </c>
      <c r="P1" s="90" t="s">
        <v>127</v>
      </c>
      <c r="Q1" s="90" t="s">
        <v>129</v>
      </c>
      <c r="R1" s="90" t="s">
        <v>131</v>
      </c>
      <c r="S1" s="90" t="s">
        <v>133</v>
      </c>
      <c r="T1" s="90" t="s">
        <v>135</v>
      </c>
      <c r="U1" s="90" t="s">
        <v>137</v>
      </c>
      <c r="V1" s="90" t="s">
        <v>139</v>
      </c>
      <c r="W1" s="90" t="s">
        <v>141</v>
      </c>
      <c r="X1" s="90" t="s">
        <v>143</v>
      </c>
      <c r="Y1" s="90" t="s">
        <v>145</v>
      </c>
      <c r="Z1" s="90" t="s">
        <v>147</v>
      </c>
      <c r="AA1" s="90" t="s">
        <v>149</v>
      </c>
      <c r="AB1" s="90" t="s">
        <v>151</v>
      </c>
      <c r="AC1" s="90" t="s">
        <v>153</v>
      </c>
      <c r="AD1" s="90" t="s">
        <v>155</v>
      </c>
      <c r="AE1" s="90" t="s">
        <v>157</v>
      </c>
      <c r="AF1" s="90" t="s">
        <v>159</v>
      </c>
      <c r="AG1" s="90" t="s">
        <v>161</v>
      </c>
      <c r="AH1" s="90" t="s">
        <v>163</v>
      </c>
      <c r="AI1" s="90" t="s">
        <v>165</v>
      </c>
      <c r="AJ1" s="90" t="s">
        <v>167</v>
      </c>
      <c r="AK1" s="90" t="s">
        <v>169</v>
      </c>
      <c r="AL1" s="90" t="s">
        <v>171</v>
      </c>
      <c r="AM1" s="90" t="s">
        <v>173</v>
      </c>
      <c r="AN1" s="90" t="s">
        <v>175</v>
      </c>
      <c r="AO1" s="90" t="s">
        <v>177</v>
      </c>
      <c r="AP1" s="90" t="s">
        <v>179</v>
      </c>
      <c r="AQ1" s="90" t="s">
        <v>181</v>
      </c>
      <c r="AR1" s="90" t="s">
        <v>183</v>
      </c>
      <c r="AS1" s="90" t="s">
        <v>185</v>
      </c>
      <c r="AT1" s="90" t="s">
        <v>187</v>
      </c>
      <c r="AU1" s="90" t="s">
        <v>189</v>
      </c>
      <c r="AV1" s="90" t="s">
        <v>191</v>
      </c>
      <c r="AW1" s="12" t="s">
        <v>86</v>
      </c>
      <c r="AX1" s="12" t="s">
        <v>89</v>
      </c>
      <c r="AY1" s="8" t="s">
        <v>91</v>
      </c>
      <c r="AZ1" s="8" t="s">
        <v>94</v>
      </c>
      <c r="BA1" s="40" t="s">
        <v>96</v>
      </c>
      <c r="BB1" s="40" t="s">
        <v>98</v>
      </c>
      <c r="BC1" s="40" t="s">
        <v>100</v>
      </c>
      <c r="BD1" s="91" t="s">
        <v>102</v>
      </c>
      <c r="BE1" s="91" t="s">
        <v>104</v>
      </c>
      <c r="BF1" s="84" t="s">
        <v>106</v>
      </c>
      <c r="BG1" s="84" t="s">
        <v>109</v>
      </c>
      <c r="BH1" s="8" t="s">
        <v>111</v>
      </c>
      <c r="BI1" s="8" t="s">
        <v>113</v>
      </c>
      <c r="BJ1" s="90" t="s">
        <v>344</v>
      </c>
      <c r="BK1" s="90" t="s">
        <v>345</v>
      </c>
      <c r="BL1" s="90" t="s">
        <v>346</v>
      </c>
      <c r="BM1" s="90" t="s">
        <v>347</v>
      </c>
      <c r="BN1" s="90" t="s">
        <v>348</v>
      </c>
      <c r="BO1" s="90" t="s">
        <v>349</v>
      </c>
      <c r="BP1" s="90" t="s">
        <v>350</v>
      </c>
      <c r="BQ1" s="90" t="s">
        <v>351</v>
      </c>
      <c r="BR1" s="90" t="s">
        <v>352</v>
      </c>
      <c r="BS1" s="90" t="s">
        <v>353</v>
      </c>
      <c r="BT1" s="90" t="s">
        <v>354</v>
      </c>
      <c r="BU1" s="90" t="s">
        <v>355</v>
      </c>
      <c r="BV1" s="90" t="s">
        <v>356</v>
      </c>
      <c r="BW1" s="90" t="s">
        <v>357</v>
      </c>
      <c r="BX1" s="90" t="s">
        <v>358</v>
      </c>
      <c r="BY1" s="90" t="s">
        <v>359</v>
      </c>
      <c r="BZ1" s="90" t="s">
        <v>360</v>
      </c>
      <c r="CA1" s="90" t="s">
        <v>361</v>
      </c>
      <c r="CB1" s="90" t="s">
        <v>362</v>
      </c>
      <c r="CC1" s="90" t="s">
        <v>363</v>
      </c>
      <c r="CD1" s="90" t="s">
        <v>364</v>
      </c>
      <c r="CE1" s="90" t="s">
        <v>365</v>
      </c>
      <c r="CF1" s="90" t="s">
        <v>366</v>
      </c>
      <c r="CG1" s="90" t="s">
        <v>367</v>
      </c>
      <c r="CH1" s="90" t="s">
        <v>368</v>
      </c>
      <c r="CI1" s="90" t="s">
        <v>369</v>
      </c>
      <c r="CJ1" s="90" t="s">
        <v>370</v>
      </c>
      <c r="CK1" s="90" t="s">
        <v>371</v>
      </c>
      <c r="CL1" s="90" t="s">
        <v>372</v>
      </c>
      <c r="CM1" s="90" t="s">
        <v>373</v>
      </c>
      <c r="CN1" s="90" t="s">
        <v>374</v>
      </c>
      <c r="CO1" s="90" t="s">
        <v>375</v>
      </c>
      <c r="CP1" s="90" t="s">
        <v>376</v>
      </c>
      <c r="CQ1" s="90" t="s">
        <v>377</v>
      </c>
      <c r="CR1" s="90" t="s">
        <v>378</v>
      </c>
      <c r="CS1" s="90" t="s">
        <v>379</v>
      </c>
      <c r="CT1" s="90" t="s">
        <v>380</v>
      </c>
      <c r="CU1" s="90" t="s">
        <v>381</v>
      </c>
      <c r="CV1" s="8" t="s">
        <v>382</v>
      </c>
      <c r="CW1" s="8" t="s">
        <v>383</v>
      </c>
      <c r="CX1" s="8" t="s">
        <v>384</v>
      </c>
      <c r="CY1" s="8" t="s">
        <v>385</v>
      </c>
      <c r="CZ1" s="94" t="s">
        <v>386</v>
      </c>
      <c r="DA1" s="94" t="s">
        <v>387</v>
      </c>
      <c r="DB1" s="94" t="s">
        <v>388</v>
      </c>
      <c r="DC1" s="94" t="s">
        <v>389</v>
      </c>
      <c r="DD1" s="94" t="s">
        <v>390</v>
      </c>
      <c r="DE1" s="94" t="s">
        <v>391</v>
      </c>
      <c r="DF1" s="94" t="s">
        <v>392</v>
      </c>
      <c r="DG1" s="94" t="s">
        <v>393</v>
      </c>
      <c r="DH1" s="94" t="s">
        <v>394</v>
      </c>
      <c r="DI1" s="94" t="s">
        <v>395</v>
      </c>
      <c r="DJ1" s="94" t="s">
        <v>396</v>
      </c>
      <c r="DK1" s="94" t="s">
        <v>397</v>
      </c>
      <c r="DL1" s="94" t="s">
        <v>398</v>
      </c>
      <c r="DM1" s="94" t="s">
        <v>399</v>
      </c>
      <c r="DN1" s="94" t="s">
        <v>400</v>
      </c>
      <c r="DO1" s="94" t="s">
        <v>401</v>
      </c>
      <c r="DP1" s="94" t="s">
        <v>402</v>
      </c>
      <c r="DQ1" s="94" t="s">
        <v>403</v>
      </c>
      <c r="DR1" s="94" t="s">
        <v>404</v>
      </c>
      <c r="DS1" s="94" t="s">
        <v>405</v>
      </c>
      <c r="DT1" s="94" t="s">
        <v>406</v>
      </c>
      <c r="DU1" s="94" t="s">
        <v>407</v>
      </c>
      <c r="DV1" s="94" t="s">
        <v>408</v>
      </c>
      <c r="DW1" s="94" t="s">
        <v>409</v>
      </c>
      <c r="DX1" s="94" t="s">
        <v>410</v>
      </c>
      <c r="DY1" s="94" t="s">
        <v>411</v>
      </c>
      <c r="DZ1" s="94" t="s">
        <v>412</v>
      </c>
      <c r="EA1" s="94" t="s">
        <v>413</v>
      </c>
      <c r="EB1" s="94" t="s">
        <v>414</v>
      </c>
      <c r="EC1" s="94" t="s">
        <v>415</v>
      </c>
      <c r="ED1" s="94" t="s">
        <v>416</v>
      </c>
      <c r="EE1" s="94" t="s">
        <v>417</v>
      </c>
      <c r="EF1" s="94" t="s">
        <v>418</v>
      </c>
      <c r="EG1" s="94" t="s">
        <v>419</v>
      </c>
      <c r="EH1" s="94" t="s">
        <v>420</v>
      </c>
      <c r="EI1" s="94" t="s">
        <v>421</v>
      </c>
      <c r="EJ1" s="94" t="s">
        <v>422</v>
      </c>
      <c r="EK1" s="94" t="s">
        <v>423</v>
      </c>
      <c r="EL1" s="8" t="s">
        <v>424</v>
      </c>
      <c r="EM1" s="8" t="s">
        <v>425</v>
      </c>
      <c r="EN1" s="94" t="s">
        <v>193</v>
      </c>
      <c r="EO1" s="94" t="s">
        <v>426</v>
      </c>
      <c r="EP1" s="12" t="s">
        <v>196</v>
      </c>
      <c r="EQ1" s="12" t="s">
        <v>199</v>
      </c>
      <c r="ER1" s="8" t="s">
        <v>427</v>
      </c>
      <c r="FC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t="s">
        <v>201</v>
      </c>
      <c r="HI1" s="8" t="s">
        <v>203</v>
      </c>
      <c r="HJ1" s="8" t="s">
        <v>205</v>
      </c>
      <c r="HK1" s="8" t="s">
        <v>207</v>
      </c>
      <c r="HM1" s="8" t="s">
        <v>209</v>
      </c>
    </row>
    <row r="2" spans="1:221">
      <c r="A2" s="70">
        <f>'Phase CEMS PM Concentrations'!A2</f>
        <v>44301</v>
      </c>
      <c r="B2" s="70" t="str">
        <f>'Phase CEMS PM Concentrations'!B2</f>
        <v>BK Princess</v>
      </c>
      <c r="C2" s="70" t="str">
        <f>'Phase CEMS PM Concentrations'!C2</f>
        <v>None</v>
      </c>
      <c r="D2" s="126" t="str">
        <f>'Phase CEMS PM Concentrations'!D2</f>
        <v>Background</v>
      </c>
      <c r="E2" s="70" t="s">
        <v>428</v>
      </c>
      <c r="F2" s="138">
        <f>IF(ISBLANK('Phase CEMS PM Concentrations'!E2),"",'Phase CEMS PM Concentrations'!E2)</f>
        <v>44301.404166666667</v>
      </c>
      <c r="G2" s="138">
        <f>IF(ISBLANK('Phase CEMS PM Concentrations'!F2),"",'Phase CEMS PM Concentrations'!F2)</f>
        <v>44301.571875000001</v>
      </c>
      <c r="H2" s="73" t="str">
        <f>'[1]XRF Masses'!B28</f>
        <v>TF4721001</v>
      </c>
      <c r="I2" s="139" t="s">
        <v>429</v>
      </c>
      <c r="J2" s="71">
        <f>'[1]Teflon Filter Masses'!$R5</f>
        <v>2.0800000000008367E-2</v>
      </c>
      <c r="K2" s="73">
        <f>'[1]XRF Masses'!J28</f>
        <v>0.55479999999999996</v>
      </c>
      <c r="L2" s="73">
        <f>'[1]XRF Masses'!K28</f>
        <v>0</v>
      </c>
      <c r="M2" s="73">
        <f>'[1]XRF Masses'!L28</f>
        <v>0</v>
      </c>
      <c r="N2" s="73">
        <f>'[1]XRF Masses'!M28</f>
        <v>0.1074</v>
      </c>
      <c r="O2" s="73">
        <f>'[1]XRF Masses'!N28</f>
        <v>5.5999999999999999E-3</v>
      </c>
      <c r="P2" s="73">
        <f>'[1]XRF Masses'!O28</f>
        <v>4.2900000000000001E-2</v>
      </c>
      <c r="Q2" s="73">
        <f>'[1]XRF Masses'!P28</f>
        <v>8.14E-2</v>
      </c>
      <c r="R2" s="73">
        <f>'[1]XRF Masses'!Q28</f>
        <v>0.13789999999999999</v>
      </c>
      <c r="S2" s="73">
        <f>'[1]XRF Masses'!R28</f>
        <v>0.25419999999999998</v>
      </c>
      <c r="T2" s="73">
        <f>'[1]XRF Masses'!S28</f>
        <v>0</v>
      </c>
      <c r="U2" s="73">
        <f>'[1]XRF Masses'!T28</f>
        <v>0</v>
      </c>
      <c r="V2" s="73">
        <f>'[1]XRF Masses'!U28</f>
        <v>3.8399999999999997E-2</v>
      </c>
      <c r="W2" s="73">
        <f>'[1]XRF Masses'!V28</f>
        <v>1.5800000000000002E-2</v>
      </c>
      <c r="X2" s="73">
        <f>'[1]XRF Masses'!W28</f>
        <v>0.12429999999999999</v>
      </c>
      <c r="Y2" s="73">
        <f>'[1]XRF Masses'!X28</f>
        <v>2.3E-3</v>
      </c>
      <c r="Z2" s="73">
        <f>'[1]XRF Masses'!Y28</f>
        <v>1.1299999999999999E-2</v>
      </c>
      <c r="AA2" s="73">
        <f>'[1]XRF Masses'!Z28</f>
        <v>0</v>
      </c>
      <c r="AB2" s="73">
        <f>'[1]XRF Masses'!AA28</f>
        <v>2.3699999999999999E-2</v>
      </c>
      <c r="AC2" s="73">
        <f>'[1]XRF Masses'!AB28</f>
        <v>7.9000000000000008E-3</v>
      </c>
      <c r="AD2" s="73">
        <f>'[1]XRF Masses'!AC28</f>
        <v>0</v>
      </c>
      <c r="AE2" s="73">
        <f>'[1]XRF Masses'!AD28</f>
        <v>5.5999999999999999E-3</v>
      </c>
      <c r="AF2" s="73">
        <f>'[1]XRF Masses'!AE28</f>
        <v>0</v>
      </c>
      <c r="AG2" s="73">
        <f>'[1]XRF Masses'!AF28</f>
        <v>2.3E-3</v>
      </c>
      <c r="AH2" s="73">
        <f>'[1]XRF Masses'!AG28</f>
        <v>0</v>
      </c>
      <c r="AI2" s="73">
        <f>'[1]XRF Masses'!AH28</f>
        <v>0</v>
      </c>
      <c r="AJ2" s="73">
        <f>'[1]XRF Masses'!AI28</f>
        <v>0</v>
      </c>
      <c r="AK2" s="73">
        <f>'[1]XRF Masses'!AJ28</f>
        <v>0</v>
      </c>
      <c r="AL2" s="73">
        <f>'[1]XRF Masses'!AK28</f>
        <v>0</v>
      </c>
      <c r="AM2" s="73">
        <f>'[1]XRF Masses'!AL28</f>
        <v>0</v>
      </c>
      <c r="AN2" s="73">
        <f>'[1]XRF Masses'!AM28</f>
        <v>0</v>
      </c>
      <c r="AO2" s="73">
        <f>'[1]XRF Masses'!AN28</f>
        <v>0</v>
      </c>
      <c r="AP2" s="73">
        <f>'[1]XRF Masses'!AO28</f>
        <v>0</v>
      </c>
      <c r="AQ2" s="73">
        <f>'[1]XRF Masses'!AP28</f>
        <v>0</v>
      </c>
      <c r="AR2" s="73">
        <f>'[1]XRF Masses'!AQ28</f>
        <v>0</v>
      </c>
      <c r="AS2" s="73">
        <f>'[1]XRF Masses'!AR28</f>
        <v>0</v>
      </c>
      <c r="AT2" s="73">
        <f>'[1]XRF Masses'!AS28</f>
        <v>0</v>
      </c>
      <c r="AU2" s="73">
        <f>'[1]XRF Masses'!AT28</f>
        <v>0</v>
      </c>
      <c r="AV2" s="73">
        <f>'[1]XRF Masses'!AU28</f>
        <v>0</v>
      </c>
      <c r="AW2" s="73">
        <f>'[1]Quartz Filter Masses'!C4</f>
        <v>1.62</v>
      </c>
      <c r="AX2" s="73">
        <f>'[1]Quartz Filter Masses'!D4</f>
        <v>0</v>
      </c>
      <c r="AY2" s="71">
        <f>'[1]Quartz Back Filter Masses'!C3</f>
        <v>1.41</v>
      </c>
      <c r="AZ2" s="71">
        <f>'[1]Quartz Back Filter Masses'!D3</f>
        <v>0</v>
      </c>
      <c r="BA2" s="140">
        <f t="shared" ref="BA2:BA25" si="0">J2-$J$27</f>
        <v>1.4999999999986358E-2</v>
      </c>
      <c r="BB2" s="140">
        <f t="shared" ref="BB2:BB25" si="1">(AW2-$AW$27)*$B$35/1000</f>
        <v>1.2075339682603086E-2</v>
      </c>
      <c r="BC2" s="140">
        <f t="shared" ref="BC2:BC25" si="2">(AX2-$AX$27)*$B$35/1000</f>
        <v>0</v>
      </c>
      <c r="BD2" s="141">
        <f t="shared" ref="BD2:BD25" si="3">(AY2-$AY$27)*$B$35/1000</f>
        <v>1.0622667239583166E-2</v>
      </c>
      <c r="BE2" s="142">
        <f t="shared" ref="BE2:BE25" si="4">(AZ2-$AZ$27)*$B$35/1000</f>
        <v>0</v>
      </c>
      <c r="BF2" s="143">
        <v>0.23572499999999999</v>
      </c>
      <c r="BG2" s="144">
        <v>0.23964199999999999</v>
      </c>
      <c r="BH2" s="145">
        <f t="shared" ref="BH2:BH25" si="5">ABS(BG2-BF2)/AVERAGE(BG2,BF2)</f>
        <v>1.6479898688802563E-2</v>
      </c>
      <c r="BI2" s="119">
        <f t="shared" ref="BI2:BI25" si="6">BA2/BF2</f>
        <v>6.3633471205796405E-2</v>
      </c>
      <c r="BJ2" s="146">
        <f t="shared" ref="BJ2:BJ25" si="7">K2/$BF2/1000</f>
        <v>2.3535899883338636E-3</v>
      </c>
      <c r="BK2" s="146">
        <f t="shared" ref="BK2:BK25" si="8">L2/$BF2/1000</f>
        <v>0</v>
      </c>
      <c r="BL2" s="146">
        <f t="shared" ref="BL2:BL25" si="9">M2/$BF2/1000</f>
        <v>0</v>
      </c>
      <c r="BM2" s="146">
        <f t="shared" ref="BM2:BM25" si="10">N2/$BF2/1000</f>
        <v>4.5561565383391668E-4</v>
      </c>
      <c r="BN2" s="146">
        <f t="shared" ref="BN2:BN25" si="11">O2/$BF2/1000</f>
        <v>2.3756495916852265E-5</v>
      </c>
      <c r="BO2" s="146">
        <f t="shared" ref="BO2:BO25" si="12">P2/$BF2/1000</f>
        <v>1.8199172764874323E-4</v>
      </c>
      <c r="BP2" s="146">
        <f t="shared" ref="BP2:BP25" si="13">Q2/$BF2/1000</f>
        <v>3.4531763707710254E-4</v>
      </c>
      <c r="BQ2" s="146">
        <f t="shared" ref="BQ2:BQ25" si="14">R2/$BF2/1000</f>
        <v>5.8500371195248705E-4</v>
      </c>
      <c r="BR2" s="146">
        <f t="shared" ref="BR2:BR25" si="15">S2/$BF2/1000</f>
        <v>1.0783752253685438E-3</v>
      </c>
      <c r="BS2" s="146">
        <f t="shared" ref="BS2:BS25" si="16">T2/$BF2/1000</f>
        <v>0</v>
      </c>
      <c r="BT2" s="146">
        <f t="shared" ref="BT2:BT25" si="17">U2/$BF2/1000</f>
        <v>0</v>
      </c>
      <c r="BU2" s="146">
        <f t="shared" ref="BU2:BU25" si="18">V2/$BF2/1000</f>
        <v>1.6290168628698695E-4</v>
      </c>
      <c r="BV2" s="146">
        <f t="shared" ref="BV2:BV25" si="19">W2/$BF2/1000</f>
        <v>6.7027256336833183E-5</v>
      </c>
      <c r="BW2" s="146">
        <f t="shared" ref="BW2:BW25" si="20">X2/$BF2/1000</f>
        <v>5.2730936472584577E-4</v>
      </c>
      <c r="BX2" s="146">
        <f t="shared" ref="BX2:BX25" si="21">Y2/$BF2/1000</f>
        <v>9.7571322515643225E-6</v>
      </c>
      <c r="BY2" s="146">
        <f t="shared" ref="BY2:BY25" si="22">Z2/$BF2/1000</f>
        <v>4.7937214975076889E-5</v>
      </c>
      <c r="BZ2" s="146">
        <f t="shared" ref="BZ2:BZ25" si="23">AA2/$BF2/1000</f>
        <v>0</v>
      </c>
      <c r="CA2" s="146">
        <f t="shared" ref="CA2:CA25" si="24">AB2/$BF2/1000</f>
        <v>1.0054088450524976E-4</v>
      </c>
      <c r="CB2" s="146">
        <f t="shared" ref="CB2:CB25" si="25">AC2/$BF2/1000</f>
        <v>3.3513628168416591E-5</v>
      </c>
      <c r="CC2" s="146">
        <f t="shared" ref="CC2:CC25" si="26">AD2/$BF2/1000</f>
        <v>0</v>
      </c>
      <c r="CD2" s="146">
        <f t="shared" ref="CD2:CD25" si="27">AE2/$BF2/1000</f>
        <v>2.3756495916852265E-5</v>
      </c>
      <c r="CE2" s="146">
        <f t="shared" ref="CE2:CE25" si="28">AF2/$BF2/1000</f>
        <v>0</v>
      </c>
      <c r="CF2" s="146">
        <f t="shared" ref="CF2:CF25" si="29">AG2/$BF2/1000</f>
        <v>9.7571322515643225E-6</v>
      </c>
      <c r="CG2" s="146">
        <f t="shared" ref="CG2:CG25" si="30">AH2/$BF2/1000</f>
        <v>0</v>
      </c>
      <c r="CH2" s="146">
        <f t="shared" ref="CH2:CH25" si="31">AI2/$BF2/1000</f>
        <v>0</v>
      </c>
      <c r="CI2" s="146">
        <f t="shared" ref="CI2:CI25" si="32">AJ2/$BF2/1000</f>
        <v>0</v>
      </c>
      <c r="CJ2" s="146">
        <f t="shared" ref="CJ2:CJ25" si="33">AK2/$BF2/1000</f>
        <v>0</v>
      </c>
      <c r="CK2" s="146">
        <f t="shared" ref="CK2:CK25" si="34">AL2/$BF2/1000</f>
        <v>0</v>
      </c>
      <c r="CL2" s="146">
        <f t="shared" ref="CL2:CL25" si="35">AM2/$BF2/1000</f>
        <v>0</v>
      </c>
      <c r="CM2" s="146">
        <f t="shared" ref="CM2:CM25" si="36">AN2/$BF2/1000</f>
        <v>0</v>
      </c>
      <c r="CN2" s="146">
        <f t="shared" ref="CN2:CN25" si="37">AO2/$BF2/1000</f>
        <v>0</v>
      </c>
      <c r="CO2" s="146">
        <f t="shared" ref="CO2:CO25" si="38">AP2/$BF2/1000</f>
        <v>0</v>
      </c>
      <c r="CP2" s="146">
        <f t="shared" ref="CP2:CP25" si="39">AQ2/$BF2/1000</f>
        <v>0</v>
      </c>
      <c r="CQ2" s="146">
        <f t="shared" ref="CQ2:CQ25" si="40">AR2/$BF2/1000</f>
        <v>0</v>
      </c>
      <c r="CR2" s="146">
        <f t="shared" ref="CR2:CR25" si="41">AS2/$BF2/1000</f>
        <v>0</v>
      </c>
      <c r="CS2" s="146">
        <f t="shared" ref="CS2:CS25" si="42">AT2/$BF2/1000</f>
        <v>0</v>
      </c>
      <c r="CT2" s="146">
        <f t="shared" ref="CT2:CT25" si="43">AU2/$BF2/1000</f>
        <v>0</v>
      </c>
      <c r="CU2" s="146">
        <f t="shared" ref="CU2:CU25" si="44">AV2/$BF2/1000</f>
        <v>0</v>
      </c>
      <c r="CV2" s="119">
        <f>BB2-BD2</f>
        <v>1.4526724430199197E-3</v>
      </c>
      <c r="CW2" s="119">
        <f>BC2-BE2</f>
        <v>0</v>
      </c>
      <c r="CX2" s="119">
        <f t="shared" ref="CX2:CX25" si="45">CV2+CW2</f>
        <v>1.4526724430199197E-3</v>
      </c>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P2">
        <f t="shared" ref="EP2:EP25" si="46">BC2/(BC2+BB2)</f>
        <v>0</v>
      </c>
      <c r="EQ2">
        <f t="shared" ref="EQ2:EQ25" si="47">BB2/(BB2+BC2)</f>
        <v>1</v>
      </c>
      <c r="HM2">
        <f>CX2/BA2/BF2</f>
        <v>0.41083817810902279</v>
      </c>
    </row>
    <row r="3" spans="1:221">
      <c r="A3" s="20">
        <f>'Phase CEMS PM Concentrations'!A3</f>
        <v>44308</v>
      </c>
      <c r="B3" s="20" t="str">
        <f>'Phase CEMS PM Concentrations'!B3</f>
        <v>BK Princess</v>
      </c>
      <c r="C3" s="20" t="str">
        <f>'Phase CEMS PM Concentrations'!C3</f>
        <v>Wet spruce</v>
      </c>
      <c r="D3" s="20" t="str">
        <f>'Phase CEMS PM Concentrations'!D3</f>
        <v>Startup</v>
      </c>
      <c r="E3" s="20" t="s">
        <v>430</v>
      </c>
      <c r="F3" s="48">
        <f>IF(ISBLANK('Phase CEMS PM Concentrations'!E3),"",'Phase CEMS PM Concentrations'!E3)</f>
        <v>44308.381249999999</v>
      </c>
      <c r="G3" s="48">
        <f>IF(ISBLANK('Phase CEMS PM Concentrations'!F3),"",'Phase CEMS PM Concentrations'!F3)</f>
        <v>44308.405555555553</v>
      </c>
      <c r="H3" s="9" t="str">
        <f>'[1]XRF Masses'!B29</f>
        <v>TF4721004</v>
      </c>
      <c r="I3" s="64" t="s">
        <v>431</v>
      </c>
      <c r="J3">
        <f>'[1]Teflon Filter Masses'!$R8</f>
        <v>0.74979999999999336</v>
      </c>
      <c r="K3" s="9">
        <f>'[1]XRF Masses'!J29</f>
        <v>0.18310000000000001</v>
      </c>
      <c r="L3" s="9">
        <f>'[1]XRF Masses'!K29</f>
        <v>0</v>
      </c>
      <c r="M3" s="9">
        <f>'[1]XRF Masses'!L29</f>
        <v>0</v>
      </c>
      <c r="N3" s="9">
        <f>'[1]XRF Masses'!M29</f>
        <v>2.5999999999999999E-2</v>
      </c>
      <c r="O3" s="9">
        <f>'[1]XRF Masses'!N29</f>
        <v>0</v>
      </c>
      <c r="P3" s="9">
        <f>'[1]XRF Masses'!O29</f>
        <v>0.67010000000000003</v>
      </c>
      <c r="Q3" s="9">
        <f>'[1]XRF Masses'!P29</f>
        <v>0.64639999999999997</v>
      </c>
      <c r="R3" s="9">
        <f>'[1]XRF Masses'!Q29</f>
        <v>1.0249999999999999</v>
      </c>
      <c r="S3" s="9">
        <f>'[1]XRF Masses'!R29</f>
        <v>0.1797</v>
      </c>
      <c r="T3" s="9">
        <f>'[1]XRF Masses'!S29</f>
        <v>4.6300000000000001E-2</v>
      </c>
      <c r="U3" s="9">
        <f>'[1]XRF Masses'!T29</f>
        <v>2.3E-3</v>
      </c>
      <c r="V3" s="9">
        <f>'[1]XRF Masses'!U29</f>
        <v>0</v>
      </c>
      <c r="W3" s="9">
        <f>'[1]XRF Masses'!V29</f>
        <v>1.3599999999999999E-2</v>
      </c>
      <c r="X3" s="9">
        <f>'[1]XRF Masses'!W29</f>
        <v>2.0299999999999999E-2</v>
      </c>
      <c r="Y3" s="9">
        <f>'[1]XRF Masses'!X29</f>
        <v>1.1000000000000001E-3</v>
      </c>
      <c r="Z3" s="9">
        <f>'[1]XRF Masses'!Y29</f>
        <v>3.3999999999999998E-3</v>
      </c>
      <c r="AA3" s="9">
        <f>'[1]XRF Masses'!Z29</f>
        <v>0</v>
      </c>
      <c r="AB3" s="9">
        <f>'[1]XRF Masses'!AA29</f>
        <v>0.18079999999999999</v>
      </c>
      <c r="AC3" s="9">
        <f>'[1]XRF Masses'!AB29</f>
        <v>0</v>
      </c>
      <c r="AD3" s="9">
        <f>'[1]XRF Masses'!AC29</f>
        <v>0</v>
      </c>
      <c r="AE3" s="9">
        <f>'[1]XRF Masses'!AD29</f>
        <v>0</v>
      </c>
      <c r="AF3" s="9">
        <f>'[1]XRF Masses'!AE29</f>
        <v>0</v>
      </c>
      <c r="AG3" s="9">
        <f>'[1]XRF Masses'!AF29</f>
        <v>0</v>
      </c>
      <c r="AH3" s="9">
        <f>'[1]XRF Masses'!AG29</f>
        <v>2.3E-3</v>
      </c>
      <c r="AI3" s="9">
        <f>'[1]XRF Masses'!AH29</f>
        <v>0</v>
      </c>
      <c r="AJ3" s="9">
        <f>'[1]XRF Masses'!AI29</f>
        <v>0</v>
      </c>
      <c r="AK3" s="9">
        <f>'[1]XRF Masses'!AJ29</f>
        <v>1.1000000000000001E-3</v>
      </c>
      <c r="AL3" s="9">
        <f>'[1]XRF Masses'!AK29</f>
        <v>0</v>
      </c>
      <c r="AM3" s="9">
        <f>'[1]XRF Masses'!AL29</f>
        <v>0</v>
      </c>
      <c r="AN3" s="9">
        <f>'[1]XRF Masses'!AM29</f>
        <v>0</v>
      </c>
      <c r="AO3" s="9">
        <f>'[1]XRF Masses'!AN29</f>
        <v>6.5500000000000003E-2</v>
      </c>
      <c r="AP3" s="9">
        <f>'[1]XRF Masses'!AO29</f>
        <v>0</v>
      </c>
      <c r="AQ3" s="9">
        <f>'[1]XRF Masses'!AP29</f>
        <v>3.6200000000000003E-2</v>
      </c>
      <c r="AR3" s="9">
        <f>'[1]XRF Masses'!AQ29</f>
        <v>0</v>
      </c>
      <c r="AS3" s="9">
        <f>'[1]XRF Masses'!AR29</f>
        <v>0</v>
      </c>
      <c r="AT3" s="9">
        <f>'[1]XRF Masses'!AS29</f>
        <v>0</v>
      </c>
      <c r="AU3" s="9">
        <f>'[1]XRF Masses'!AT29</f>
        <v>8.9999999999999993E-3</v>
      </c>
      <c r="AV3" s="9">
        <f>'[1]XRF Masses'!AU29</f>
        <v>1.1000000000000001E-3</v>
      </c>
      <c r="AW3" s="9">
        <f>'[1]Quartz Filter Masses'!C7</f>
        <v>55.7</v>
      </c>
      <c r="AX3" s="9">
        <f>'[1]Quartz Filter Masses'!D7</f>
        <v>2.61</v>
      </c>
      <c r="AY3">
        <f>'[1]Quartz Back Filter Masses'!C6</f>
        <v>7.12</v>
      </c>
      <c r="AZ3">
        <f>'[1]Quartz Back Filter Masses'!D6</f>
        <v>0</v>
      </c>
      <c r="BA3" s="77">
        <f t="shared" si="0"/>
        <v>0.74399999999997135</v>
      </c>
      <c r="BB3" s="77">
        <f t="shared" si="1"/>
        <v>0.50307862542333615</v>
      </c>
      <c r="BC3" s="77">
        <f t="shared" si="2"/>
        <v>2.3696719226762447E-2</v>
      </c>
      <c r="BD3" s="92">
        <f t="shared" si="3"/>
        <v>6.2464915049856566E-2</v>
      </c>
      <c r="BE3" s="93">
        <f t="shared" si="4"/>
        <v>0</v>
      </c>
      <c r="BF3" s="82">
        <v>3.2138800000000002E-2</v>
      </c>
      <c r="BG3" s="83">
        <v>3.0737E-2</v>
      </c>
      <c r="BH3" s="17">
        <f t="shared" si="5"/>
        <v>4.4589492300694429E-2</v>
      </c>
      <c r="BI3" s="30">
        <f t="shared" si="6"/>
        <v>23.149588659189867</v>
      </c>
      <c r="BJ3" s="102">
        <f t="shared" si="7"/>
        <v>5.6971635530884785E-3</v>
      </c>
      <c r="BK3" s="102">
        <f t="shared" si="8"/>
        <v>0</v>
      </c>
      <c r="BL3" s="102">
        <f t="shared" si="9"/>
        <v>0</v>
      </c>
      <c r="BM3" s="102">
        <f t="shared" si="10"/>
        <v>8.0899100153085976E-4</v>
      </c>
      <c r="BN3" s="102">
        <f t="shared" si="11"/>
        <v>0</v>
      </c>
      <c r="BO3" s="102">
        <f t="shared" si="12"/>
        <v>2.0850187312531895E-2</v>
      </c>
      <c r="BP3" s="102">
        <f t="shared" si="13"/>
        <v>2.011276089959799E-2</v>
      </c>
      <c r="BQ3" s="102">
        <f t="shared" si="14"/>
        <v>3.1892914483428125E-2</v>
      </c>
      <c r="BR3" s="102">
        <f t="shared" si="15"/>
        <v>5.5913724221190583E-3</v>
      </c>
      <c r="BS3" s="102">
        <f t="shared" si="16"/>
        <v>1.4406262834953389E-3</v>
      </c>
      <c r="BT3" s="102">
        <f t="shared" si="17"/>
        <v>7.1564588596960676E-5</v>
      </c>
      <c r="BU3" s="102">
        <f t="shared" si="18"/>
        <v>0</v>
      </c>
      <c r="BV3" s="102">
        <f t="shared" si="19"/>
        <v>4.2316452387768051E-4</v>
      </c>
      <c r="BW3" s="102">
        <f t="shared" si="20"/>
        <v>6.3163528196447897E-4</v>
      </c>
      <c r="BX3" s="102">
        <f t="shared" si="21"/>
        <v>3.4226542372459459E-5</v>
      </c>
      <c r="BY3" s="102">
        <f t="shared" si="22"/>
        <v>1.0579113096942013E-4</v>
      </c>
      <c r="BZ3" s="102">
        <f t="shared" si="23"/>
        <v>0</v>
      </c>
      <c r="CA3" s="102">
        <f t="shared" si="24"/>
        <v>5.6255989644915169E-3</v>
      </c>
      <c r="CB3" s="102">
        <f t="shared" si="25"/>
        <v>0</v>
      </c>
      <c r="CC3" s="102">
        <f t="shared" si="26"/>
        <v>0</v>
      </c>
      <c r="CD3" s="102">
        <f t="shared" si="27"/>
        <v>0</v>
      </c>
      <c r="CE3" s="102">
        <f t="shared" si="28"/>
        <v>0</v>
      </c>
      <c r="CF3" s="102">
        <f t="shared" si="29"/>
        <v>0</v>
      </c>
      <c r="CG3" s="102">
        <f t="shared" si="30"/>
        <v>7.1564588596960676E-5</v>
      </c>
      <c r="CH3" s="102">
        <f t="shared" si="31"/>
        <v>0</v>
      </c>
      <c r="CI3" s="102">
        <f t="shared" si="32"/>
        <v>0</v>
      </c>
      <c r="CJ3" s="102">
        <f t="shared" si="33"/>
        <v>3.4226542372459459E-5</v>
      </c>
      <c r="CK3" s="102">
        <f t="shared" si="34"/>
        <v>0</v>
      </c>
      <c r="CL3" s="102">
        <f t="shared" si="35"/>
        <v>0</v>
      </c>
      <c r="CM3" s="102">
        <f t="shared" si="36"/>
        <v>0</v>
      </c>
      <c r="CN3" s="102">
        <f t="shared" si="37"/>
        <v>2.0380350230873585E-3</v>
      </c>
      <c r="CO3" s="102">
        <f t="shared" si="38"/>
        <v>0</v>
      </c>
      <c r="CP3" s="102">
        <f t="shared" si="39"/>
        <v>1.1263643944391204E-3</v>
      </c>
      <c r="CQ3" s="102">
        <f t="shared" si="40"/>
        <v>0</v>
      </c>
      <c r="CR3" s="102">
        <f t="shared" si="41"/>
        <v>0</v>
      </c>
      <c r="CS3" s="102">
        <f t="shared" si="42"/>
        <v>0</v>
      </c>
      <c r="CT3" s="102">
        <f t="shared" si="43"/>
        <v>2.8003534668375916E-4</v>
      </c>
      <c r="CU3" s="102">
        <f t="shared" si="44"/>
        <v>3.4226542372459459E-5</v>
      </c>
      <c r="CV3" s="30">
        <f t="shared" ref="CV3:CV25" si="48">BB3/BG3-BD3/BF3</f>
        <v>14.423601730274235</v>
      </c>
      <c r="CW3" s="30">
        <f t="shared" ref="CW3:CW25" si="49">BC3/BG3-BE3/BF3</f>
        <v>0.77095094598569958</v>
      </c>
      <c r="CX3" s="30">
        <f t="shared" si="45"/>
        <v>15.194552676259935</v>
      </c>
      <c r="CY3" s="2">
        <f t="shared" ref="CY3:CY24" si="50">IF((BI3-BI$25)&gt;0,BI3-BI$25,0)</f>
        <v>23.141270298905123</v>
      </c>
      <c r="CZ3" s="18">
        <f t="shared" ref="CZ3:CZ24" si="51">IF((BJ3-BJ$27)&gt;0,BJ3-BJ$27,0)</f>
        <v>4.5203685589215465E-3</v>
      </c>
      <c r="DA3" s="18">
        <f t="shared" ref="DA3:DA24" si="52">IF((BK3-BK$27)&gt;0,BK3-BK$27,0)</f>
        <v>0</v>
      </c>
      <c r="DB3" s="18">
        <f t="shared" ref="DB3:DB24" si="53">IF((BL3-BL$27)&gt;0,BL3-BL$27,0)</f>
        <v>0</v>
      </c>
      <c r="DC3" s="18">
        <f t="shared" ref="DC3:DC24" si="54">IF((BM3-BM$27)&gt;0,BM3-BM$27,0)</f>
        <v>5.6953747021515246E-4</v>
      </c>
      <c r="DD3" s="18">
        <f t="shared" ref="DD3:DD24" si="55">IF((BN3-BN$27)&gt;0,BN3-BN$27,0)</f>
        <v>0</v>
      </c>
      <c r="DE3" s="18">
        <f t="shared" ref="DE3:DE24" si="56">IF((BO3-BO$27)&gt;0,BO3-BO$27,0)</f>
        <v>2.0747545744308774E-2</v>
      </c>
      <c r="DF3" s="18">
        <f t="shared" ref="DF3:DF24" si="57">IF((BP3-BP$27)&gt;0,BP3-BP$27,0)</f>
        <v>1.987189152672391E-2</v>
      </c>
      <c r="DG3" s="18">
        <f t="shared" ref="DG3:DG24" si="58">IF((BQ3-BQ$27)&gt;0,BQ3-BQ$27,0)</f>
        <v>3.157691325964726E-2</v>
      </c>
      <c r="DH3" s="18">
        <f t="shared" ref="DH3:DH24" si="59">IF((BR3-BR$27)&gt;0,BR3-BR$27,0)</f>
        <v>4.9675454935367361E-3</v>
      </c>
      <c r="DI3" s="18">
        <f t="shared" ref="DI3:DI24" si="60">IF((BS3-BS$27)&gt;0,BS3-BS$27,0)</f>
        <v>1.435843226331567E-3</v>
      </c>
      <c r="DJ3" s="18">
        <f t="shared" ref="DJ3:DJ24" si="61">IF((BT3-BT$27)&gt;0,BT3-BT$27,0)</f>
        <v>7.1564588596960676E-5</v>
      </c>
      <c r="DK3" s="18">
        <f t="shared" ref="DK3:DK24" si="62">IF((BU3-BU$27)&gt;0,BU3-BU$27,0)</f>
        <v>0</v>
      </c>
      <c r="DL3" s="18">
        <f t="shared" ref="DL3:DL24" si="63">IF((BV3-BV$27)&gt;0,BV3-BV$27,0)</f>
        <v>3.8965089570926393E-4</v>
      </c>
      <c r="DM3" s="18">
        <f t="shared" ref="DM3:DM24" si="64">IF((BW3-BW$27)&gt;0,BW3-BW$27,0)</f>
        <v>3.5383938711736095E-4</v>
      </c>
      <c r="DN3" s="18">
        <f t="shared" ref="DN3:DN24" si="65">IF((BX3-BX$27)&gt;0,BX3-BX$27,0)</f>
        <v>2.9347976246677297E-5</v>
      </c>
      <c r="DO3" s="18">
        <f t="shared" ref="DO3:DO24" si="66">IF((BY3-BY$27)&gt;0,BY3-BY$27,0)</f>
        <v>8.182252348188168E-5</v>
      </c>
      <c r="DP3" s="18">
        <f t="shared" ref="DP3:DP24" si="67">IF((BZ3-BZ$27)&gt;0,BZ3-BZ$27,0)</f>
        <v>0</v>
      </c>
      <c r="DQ3" s="18">
        <f t="shared" ref="DQ3:DQ24" si="68">IF((CA3-CA$27)&gt;0,CA3-CA$27,0)</f>
        <v>5.5541167035125993E-3</v>
      </c>
      <c r="DR3" s="18">
        <f t="shared" ref="DR3:DR24" si="69">IF((CB3-CB$27)&gt;0,CB3-CB$27,0)</f>
        <v>0</v>
      </c>
      <c r="DS3" s="18">
        <f t="shared" ref="DS3:DS24" si="70">IF((CC3-CC$27)&gt;0,CC3-CC$27,0)</f>
        <v>0</v>
      </c>
      <c r="DT3" s="18">
        <f t="shared" ref="DT3:DT24" si="71">IF((CD3-CD$27)&gt;0,CD3-CD$27,0)</f>
        <v>0</v>
      </c>
      <c r="DU3" s="18">
        <f t="shared" ref="DU3:DU24" si="72">IF((CE3-CE$27)&gt;0,CE3-CE$27,0)</f>
        <v>0</v>
      </c>
      <c r="DV3" s="18">
        <f t="shared" ref="DV3:DV24" si="73">IF((CF3-CF$27)&gt;0,CF3-CF$27,0)</f>
        <v>0</v>
      </c>
      <c r="DW3" s="18">
        <f t="shared" ref="DW3:DW24" si="74">IF((CG3-CG$27)&gt;0,CG3-CG$27,0)</f>
        <v>7.1564588596960676E-5</v>
      </c>
      <c r="DX3" s="18">
        <f t="shared" ref="DX3:DX24" si="75">IF((CH3-CH$27)&gt;0,CH3-CH$27,0)</f>
        <v>0</v>
      </c>
      <c r="DY3" s="18">
        <f t="shared" ref="DY3:DY24" si="76">IF((CI3-CI$27)&gt;0,CI3-CI$27,0)</f>
        <v>0</v>
      </c>
      <c r="DZ3" s="18">
        <f t="shared" ref="DZ3:DZ24" si="77">IF((CJ3-CJ$27)&gt;0,CJ3-CJ$27,0)</f>
        <v>3.4226542372459459E-5</v>
      </c>
      <c r="EA3" s="18">
        <f t="shared" ref="EA3:EA24" si="78">IF((CK3-CK$27)&gt;0,CK3-CK$27,0)</f>
        <v>0</v>
      </c>
      <c r="EB3" s="18">
        <f t="shared" ref="EB3:EB24" si="79">IF((CL3-CL$27)&gt;0,CL3-CL$27,0)</f>
        <v>0</v>
      </c>
      <c r="EC3" s="18">
        <f t="shared" ref="EC3:EC24" si="80">IF((CM3-CM$27)&gt;0,CM3-CM$27,0)</f>
        <v>0</v>
      </c>
      <c r="ED3" s="18">
        <f t="shared" ref="ED3:ED24" si="81">IF((CN3-CN$27)&gt;0,CN3-CN$27,0)</f>
        <v>2.0216062615248378E-3</v>
      </c>
      <c r="EE3" s="18">
        <f t="shared" ref="EE3:EE24" si="82">IF((CO3-CO$27)&gt;0,CO3-CO$27,0)</f>
        <v>0</v>
      </c>
      <c r="EF3" s="18">
        <f t="shared" ref="EF3:EF24" si="83">IF((CP3-CP$27)&gt;0,CP3-CP$27,0)</f>
        <v>1.1263643944391204E-3</v>
      </c>
      <c r="EG3" s="18">
        <f t="shared" ref="EG3:EG24" si="84">IF((CQ3-CQ$27)&gt;0,CQ3-CQ$27,0)</f>
        <v>0</v>
      </c>
      <c r="EH3" s="18">
        <f t="shared" ref="EH3:EH24" si="85">IF((CR3-CR$27)&gt;0,CR3-CR$27,0)</f>
        <v>0</v>
      </c>
      <c r="EI3" s="18">
        <f t="shared" ref="EI3:EI24" si="86">IF((CS3-CS$27)&gt;0,CS3-CS$27,0)</f>
        <v>0</v>
      </c>
      <c r="EJ3" s="18">
        <f t="shared" ref="EJ3:EJ24" si="87">IF((CT3-CT$27)&gt;0,CT3-CT$27,0)</f>
        <v>2.8003534668375916E-4</v>
      </c>
      <c r="EK3" s="18">
        <f t="shared" ref="EK3:EK24" si="88">IF((CU3-CU$27)&gt;0,CU3-CU$27,0)</f>
        <v>2.0085329888264344E-5</v>
      </c>
      <c r="EL3" s="2">
        <f t="shared" ref="EL3:EL24" si="89">IF((CV3-CV$27)&gt;0,CV3-CV$27,0)</f>
        <v>14.415290184349667</v>
      </c>
      <c r="EM3" s="2">
        <f t="shared" ref="EM3:EM24" si="90">CW3</f>
        <v>0.77095094598569958</v>
      </c>
      <c r="EN3" s="103">
        <f>SUM(CZ3:EM3)</f>
        <v>15.279965000153222</v>
      </c>
      <c r="EO3" s="103">
        <f>CY3</f>
        <v>23.141270298905123</v>
      </c>
      <c r="EP3" s="112">
        <f t="shared" si="46"/>
        <v>4.4984488107549118E-2</v>
      </c>
      <c r="EQ3" s="114">
        <f t="shared" si="47"/>
        <v>0.95501551189245093</v>
      </c>
      <c r="HI3" s="36">
        <f t="shared" ref="HI3:HI25" si="91">BB3/BA3</f>
        <v>0.67618094814967145</v>
      </c>
      <c r="HK3">
        <f t="shared" ref="HK3:HK25" si="92">BC3/BA3</f>
        <v>3.1850429068230324E-2</v>
      </c>
      <c r="HM3" s="36">
        <f>CX3/BA3/BF3</f>
        <v>635.4557685784431</v>
      </c>
    </row>
    <row r="4" spans="1:221">
      <c r="A4" s="20">
        <f>'Phase CEMS PM Concentrations'!A4</f>
        <v>44308</v>
      </c>
      <c r="B4" s="20" t="str">
        <f>'Phase CEMS PM Concentrations'!B4</f>
        <v>BK Princess</v>
      </c>
      <c r="C4" s="20" t="str">
        <f>'Phase CEMS PM Concentrations'!C4</f>
        <v>Wet spruce</v>
      </c>
      <c r="D4" s="20" t="str">
        <f>'Phase CEMS PM Concentrations'!D4</f>
        <v>High</v>
      </c>
      <c r="E4" s="20" t="s">
        <v>432</v>
      </c>
      <c r="F4" s="48">
        <f>IF(ISBLANK('Phase CEMS PM Concentrations'!E4),"",'Phase CEMS PM Concentrations'!E4)</f>
        <v>44308.406944444447</v>
      </c>
      <c r="G4" s="48">
        <f>IF(ISBLANK('Phase CEMS PM Concentrations'!F4),"",'Phase CEMS PM Concentrations'!F4)</f>
        <v>44308.557638888888</v>
      </c>
      <c r="H4" s="9" t="str">
        <f>'[1]XRF Masses'!B30</f>
        <v>TF4721005</v>
      </c>
      <c r="I4" s="64" t="s">
        <v>433</v>
      </c>
      <c r="J4">
        <f>'[1]Teflon Filter Masses'!$R9</f>
        <v>0.96279999999998722</v>
      </c>
      <c r="K4" s="9">
        <f>'[1]XRF Masses'!J30</f>
        <v>0</v>
      </c>
      <c r="L4" s="9">
        <f>'[1]XRF Masses'!K30</f>
        <v>0</v>
      </c>
      <c r="M4" s="9">
        <f>'[1]XRF Masses'!L30</f>
        <v>0</v>
      </c>
      <c r="N4" s="9">
        <f>'[1]XRF Masses'!M30</f>
        <v>6.8900000000000003E-2</v>
      </c>
      <c r="O4" s="9">
        <f>'[1]XRF Masses'!N30</f>
        <v>1.0200000000000001E-2</v>
      </c>
      <c r="P4" s="9">
        <f>'[1]XRF Masses'!O30</f>
        <v>1.5289999999999999</v>
      </c>
      <c r="Q4" s="9">
        <f>'[1]XRF Masses'!P30</f>
        <v>1.167</v>
      </c>
      <c r="R4" s="9">
        <f>'[1]XRF Masses'!Q30</f>
        <v>4.758</v>
      </c>
      <c r="S4" s="9">
        <f>'[1]XRF Masses'!R30</f>
        <v>0.71870000000000001</v>
      </c>
      <c r="T4" s="9">
        <f>'[1]XRF Masses'!S30</f>
        <v>4.4999999999999997E-3</v>
      </c>
      <c r="U4" s="9">
        <f>'[1]XRF Masses'!T30</f>
        <v>3.3999999999999998E-3</v>
      </c>
      <c r="V4" s="9">
        <f>'[1]XRF Masses'!U30</f>
        <v>7.9000000000000008E-3</v>
      </c>
      <c r="W4" s="9">
        <f>'[1]XRF Masses'!V30</f>
        <v>1.5800000000000002E-2</v>
      </c>
      <c r="X4" s="9">
        <f>'[1]XRF Masses'!W30</f>
        <v>5.6500000000000002E-2</v>
      </c>
      <c r="Y4" s="9">
        <f>'[1]XRF Masses'!X30</f>
        <v>0</v>
      </c>
      <c r="Z4" s="9">
        <f>'[1]XRF Masses'!Y30</f>
        <v>0</v>
      </c>
      <c r="AA4" s="9">
        <f>'[1]XRF Masses'!Z30</f>
        <v>0</v>
      </c>
      <c r="AB4" s="9">
        <f>'[1]XRF Masses'!AA30</f>
        <v>0.70960000000000001</v>
      </c>
      <c r="AC4" s="9">
        <f>'[1]XRF Masses'!AB30</f>
        <v>0</v>
      </c>
      <c r="AD4" s="9">
        <f>'[1]XRF Masses'!AC30</f>
        <v>0</v>
      </c>
      <c r="AE4" s="9">
        <f>'[1]XRF Masses'!AD30</f>
        <v>0</v>
      </c>
      <c r="AF4" s="9">
        <f>'[1]XRF Masses'!AE30</f>
        <v>0</v>
      </c>
      <c r="AG4" s="9">
        <f>'[1]XRF Masses'!AF30</f>
        <v>7.9000000000000008E-3</v>
      </c>
      <c r="AH4" s="9">
        <f>'[1]XRF Masses'!AG30</f>
        <v>1.8100000000000002E-2</v>
      </c>
      <c r="AI4" s="9">
        <f>'[1]XRF Masses'!AH30</f>
        <v>0</v>
      </c>
      <c r="AJ4" s="9">
        <f>'[1]XRF Masses'!AI30</f>
        <v>0</v>
      </c>
      <c r="AK4" s="9">
        <f>'[1]XRF Masses'!AJ30</f>
        <v>1.3599999999999999E-2</v>
      </c>
      <c r="AL4" s="9">
        <f>'[1]XRF Masses'!AK30</f>
        <v>0</v>
      </c>
      <c r="AM4" s="9">
        <f>'[1]XRF Masses'!AL30</f>
        <v>1.5800000000000002E-2</v>
      </c>
      <c r="AN4" s="9">
        <f>'[1]XRF Masses'!AM30</f>
        <v>1.24E-2</v>
      </c>
      <c r="AO4" s="9">
        <f>'[1]XRF Masses'!AN30</f>
        <v>0</v>
      </c>
      <c r="AP4" s="9">
        <f>'[1]XRF Masses'!AO30</f>
        <v>0.11070000000000001</v>
      </c>
      <c r="AQ4" s="9">
        <f>'[1]XRF Masses'!AP30</f>
        <v>0</v>
      </c>
      <c r="AR4" s="9">
        <f>'[1]XRF Masses'!AQ30</f>
        <v>2.2599999999999999E-2</v>
      </c>
      <c r="AS4" s="9">
        <f>'[1]XRF Masses'!AR30</f>
        <v>0</v>
      </c>
      <c r="AT4" s="9">
        <f>'[1]XRF Masses'!AS30</f>
        <v>0</v>
      </c>
      <c r="AU4" s="9">
        <f>'[1]XRF Masses'!AT30</f>
        <v>0</v>
      </c>
      <c r="AV4" s="9">
        <f>'[1]XRF Masses'!AU30</f>
        <v>1.1000000000000001E-3</v>
      </c>
      <c r="AW4" s="9">
        <f>'[1]Quartz Filter Masses'!C8</f>
        <v>62.58</v>
      </c>
      <c r="AX4" s="9">
        <f>'[1]Quartz Filter Masses'!D8</f>
        <v>2</v>
      </c>
      <c r="AY4">
        <f>'[1]Quartz Back Filter Masses'!C7</f>
        <v>10.77</v>
      </c>
      <c r="AZ4">
        <f>'[1]Quartz Back Filter Masses'!D7</f>
        <v>0.1</v>
      </c>
      <c r="BA4" s="77">
        <f t="shared" si="0"/>
        <v>0.95699999999996521</v>
      </c>
      <c r="BB4" s="77">
        <f t="shared" si="1"/>
        <v>0.56554354047319255</v>
      </c>
      <c r="BC4" s="77">
        <f t="shared" si="2"/>
        <v>1.8158405537749001E-2</v>
      </c>
      <c r="BD4" s="92">
        <f t="shared" si="3"/>
        <v>9.5604005156248492E-2</v>
      </c>
      <c r="BE4" s="93">
        <f t="shared" si="4"/>
        <v>9.0792027688745014E-4</v>
      </c>
      <c r="BF4" s="82">
        <v>0.19858999999999999</v>
      </c>
      <c r="BG4" s="83">
        <v>0.19015799999999999</v>
      </c>
      <c r="BH4" s="17">
        <f t="shared" si="5"/>
        <v>4.3380287487009554E-2</v>
      </c>
      <c r="BI4" s="30">
        <f t="shared" si="6"/>
        <v>4.8189737650433822</v>
      </c>
      <c r="BJ4" s="102">
        <f t="shared" si="7"/>
        <v>0</v>
      </c>
      <c r="BK4" s="102">
        <f t="shared" si="8"/>
        <v>0</v>
      </c>
      <c r="BL4" s="102">
        <f t="shared" si="9"/>
        <v>0</v>
      </c>
      <c r="BM4" s="102">
        <f t="shared" si="10"/>
        <v>3.4694596908202836E-4</v>
      </c>
      <c r="BN4" s="102">
        <f t="shared" si="11"/>
        <v>5.1362102824915663E-5</v>
      </c>
      <c r="BO4" s="102">
        <f t="shared" si="12"/>
        <v>7.6992799234603957E-3</v>
      </c>
      <c r="BP4" s="102">
        <f t="shared" si="13"/>
        <v>5.8764288232035855E-3</v>
      </c>
      <c r="BQ4" s="102">
        <f t="shared" si="14"/>
        <v>2.395891031774007E-2</v>
      </c>
      <c r="BR4" s="102">
        <f t="shared" si="15"/>
        <v>3.6190140490457729E-3</v>
      </c>
      <c r="BS4" s="102">
        <f t="shared" si="16"/>
        <v>2.2659751246286317E-5</v>
      </c>
      <c r="BT4" s="102">
        <f t="shared" si="17"/>
        <v>1.7120700941638552E-5</v>
      </c>
      <c r="BU4" s="102">
        <f t="shared" si="18"/>
        <v>3.9780452187924876E-5</v>
      </c>
      <c r="BV4" s="102">
        <f t="shared" si="19"/>
        <v>7.9560904375849752E-5</v>
      </c>
      <c r="BW4" s="102">
        <f t="shared" si="20"/>
        <v>2.8450576564781717E-4</v>
      </c>
      <c r="BX4" s="102">
        <f t="shared" si="21"/>
        <v>0</v>
      </c>
      <c r="BY4" s="102">
        <f t="shared" si="22"/>
        <v>0</v>
      </c>
      <c r="BZ4" s="102">
        <f t="shared" si="23"/>
        <v>0</v>
      </c>
      <c r="CA4" s="102">
        <f t="shared" si="24"/>
        <v>3.5731909965255053E-3</v>
      </c>
      <c r="CB4" s="102">
        <f t="shared" si="25"/>
        <v>0</v>
      </c>
      <c r="CC4" s="102">
        <f t="shared" si="26"/>
        <v>0</v>
      </c>
      <c r="CD4" s="102">
        <f t="shared" si="27"/>
        <v>0</v>
      </c>
      <c r="CE4" s="102">
        <f t="shared" si="28"/>
        <v>0</v>
      </c>
      <c r="CF4" s="102">
        <f t="shared" si="29"/>
        <v>3.9780452187924876E-5</v>
      </c>
      <c r="CG4" s="102">
        <f t="shared" si="30"/>
        <v>9.1142555012840539E-5</v>
      </c>
      <c r="CH4" s="102">
        <f t="shared" si="31"/>
        <v>0</v>
      </c>
      <c r="CI4" s="102">
        <f t="shared" si="32"/>
        <v>0</v>
      </c>
      <c r="CJ4" s="102">
        <f t="shared" si="33"/>
        <v>6.8482803766554208E-5</v>
      </c>
      <c r="CK4" s="102">
        <f t="shared" si="34"/>
        <v>0</v>
      </c>
      <c r="CL4" s="102">
        <f t="shared" si="35"/>
        <v>7.9560904375849752E-5</v>
      </c>
      <c r="CM4" s="102">
        <f t="shared" si="36"/>
        <v>6.2440203434211187E-5</v>
      </c>
      <c r="CN4" s="102">
        <f t="shared" si="37"/>
        <v>0</v>
      </c>
      <c r="CO4" s="102">
        <f t="shared" si="38"/>
        <v>5.5742988065864347E-4</v>
      </c>
      <c r="CP4" s="102">
        <f t="shared" si="39"/>
        <v>0</v>
      </c>
      <c r="CQ4" s="102">
        <f t="shared" si="40"/>
        <v>1.1380230625912684E-4</v>
      </c>
      <c r="CR4" s="102">
        <f t="shared" si="41"/>
        <v>0</v>
      </c>
      <c r="CS4" s="102">
        <f t="shared" si="42"/>
        <v>0</v>
      </c>
      <c r="CT4" s="102">
        <f t="shared" si="43"/>
        <v>0</v>
      </c>
      <c r="CU4" s="102">
        <f t="shared" si="44"/>
        <v>5.5390503046477669E-6</v>
      </c>
      <c r="CV4" s="30">
        <f t="shared" si="48"/>
        <v>2.4926577799413092</v>
      </c>
      <c r="CW4" s="30">
        <f t="shared" si="49"/>
        <v>9.0919314228585499E-2</v>
      </c>
      <c r="CX4" s="30">
        <f t="shared" si="45"/>
        <v>2.5835770941698946</v>
      </c>
      <c r="CY4" s="2">
        <f t="shared" si="50"/>
        <v>4.8106554047586396</v>
      </c>
      <c r="CZ4" s="18">
        <f t="shared" si="51"/>
        <v>0</v>
      </c>
      <c r="DA4" s="18">
        <f t="shared" si="52"/>
        <v>0</v>
      </c>
      <c r="DB4" s="18">
        <f t="shared" si="53"/>
        <v>0</v>
      </c>
      <c r="DC4" s="18">
        <f t="shared" si="54"/>
        <v>1.074924377663211E-4</v>
      </c>
      <c r="DD4" s="18">
        <f t="shared" si="55"/>
        <v>3.9483854866489529E-5</v>
      </c>
      <c r="DE4" s="18">
        <f t="shared" si="56"/>
        <v>7.5966383552372755E-3</v>
      </c>
      <c r="DF4" s="18">
        <f t="shared" si="57"/>
        <v>5.6355594503295046E-3</v>
      </c>
      <c r="DG4" s="18">
        <f t="shared" si="58"/>
        <v>2.3642909093959209E-2</v>
      </c>
      <c r="DH4" s="18">
        <f t="shared" si="59"/>
        <v>2.9951871204634507E-3</v>
      </c>
      <c r="DI4" s="18">
        <f t="shared" si="60"/>
        <v>1.7876694082514441E-5</v>
      </c>
      <c r="DJ4" s="18">
        <f t="shared" si="61"/>
        <v>1.7120700941638552E-5</v>
      </c>
      <c r="DK4" s="18">
        <f t="shared" si="62"/>
        <v>0</v>
      </c>
      <c r="DL4" s="18">
        <f t="shared" si="63"/>
        <v>4.6047276207433161E-5</v>
      </c>
      <c r="DM4" s="18">
        <f t="shared" si="64"/>
        <v>6.7098708006991603E-6</v>
      </c>
      <c r="DN4" s="18">
        <f t="shared" si="65"/>
        <v>0</v>
      </c>
      <c r="DO4" s="18">
        <f t="shared" si="66"/>
        <v>0</v>
      </c>
      <c r="DP4" s="18">
        <f t="shared" si="67"/>
        <v>0</v>
      </c>
      <c r="DQ4" s="18">
        <f t="shared" si="68"/>
        <v>3.5017087355465877E-3</v>
      </c>
      <c r="DR4" s="18">
        <f t="shared" si="69"/>
        <v>0</v>
      </c>
      <c r="DS4" s="18">
        <f t="shared" si="70"/>
        <v>0</v>
      </c>
      <c r="DT4" s="18">
        <f t="shared" si="71"/>
        <v>0</v>
      </c>
      <c r="DU4" s="18">
        <f t="shared" si="72"/>
        <v>0</v>
      </c>
      <c r="DV4" s="18">
        <f t="shared" si="73"/>
        <v>3.4901886062142715E-5</v>
      </c>
      <c r="DW4" s="18">
        <f t="shared" si="74"/>
        <v>9.1142555012840539E-5</v>
      </c>
      <c r="DX4" s="18">
        <f t="shared" si="75"/>
        <v>0</v>
      </c>
      <c r="DY4" s="18">
        <f t="shared" si="76"/>
        <v>0</v>
      </c>
      <c r="DZ4" s="18">
        <f t="shared" si="77"/>
        <v>6.8482803766554208E-5</v>
      </c>
      <c r="EA4" s="18">
        <f t="shared" si="78"/>
        <v>0</v>
      </c>
      <c r="EB4" s="18">
        <f t="shared" si="79"/>
        <v>7.9560904375849752E-5</v>
      </c>
      <c r="EC4" s="18">
        <f t="shared" si="80"/>
        <v>6.2440203434211187E-5</v>
      </c>
      <c r="ED4" s="18">
        <f t="shared" si="81"/>
        <v>0</v>
      </c>
      <c r="EE4" s="18">
        <f t="shared" si="82"/>
        <v>5.5742988065864347E-4</v>
      </c>
      <c r="EF4" s="18">
        <f t="shared" si="83"/>
        <v>0</v>
      </c>
      <c r="EG4" s="18">
        <f t="shared" si="84"/>
        <v>1.1380230625912684E-4</v>
      </c>
      <c r="EH4" s="18">
        <f t="shared" si="85"/>
        <v>0</v>
      </c>
      <c r="EI4" s="18">
        <f t="shared" si="86"/>
        <v>0</v>
      </c>
      <c r="EJ4" s="18">
        <f t="shared" si="87"/>
        <v>0</v>
      </c>
      <c r="EK4" s="18">
        <f t="shared" si="88"/>
        <v>0</v>
      </c>
      <c r="EL4" s="2">
        <f t="shared" si="89"/>
        <v>2.484346234016741</v>
      </c>
      <c r="EM4" s="2">
        <f t="shared" si="90"/>
        <v>9.0919314228585499E-2</v>
      </c>
      <c r="EN4" s="103">
        <f>SUM(CZ4:EM4)</f>
        <v>2.619880042375097</v>
      </c>
      <c r="EO4" s="103">
        <f t="shared" ref="EO4:EO24" si="93">CY4</f>
        <v>4.8106554047586396</v>
      </c>
      <c r="EP4" s="112">
        <f t="shared" si="46"/>
        <v>3.1109037175299427E-2</v>
      </c>
      <c r="EQ4" s="114">
        <f t="shared" si="47"/>
        <v>0.96889096282470044</v>
      </c>
      <c r="HI4" s="36">
        <f t="shared" si="91"/>
        <v>0.59095458774630416</v>
      </c>
      <c r="HK4">
        <f t="shared" si="92"/>
        <v>1.8974300457418661E-2</v>
      </c>
      <c r="HM4" s="36">
        <f>CX4/BA4/BF4</f>
        <v>13.594151696155855</v>
      </c>
    </row>
    <row r="5" spans="1:221">
      <c r="A5" s="20">
        <f>'Phase CEMS PM Concentrations'!A5</f>
        <v>44312</v>
      </c>
      <c r="B5" s="20" t="str">
        <f>'Phase CEMS PM Concentrations'!B5</f>
        <v>BK Princess</v>
      </c>
      <c r="C5" s="20" t="str">
        <f>'Phase CEMS PM Concentrations'!C5</f>
        <v>Wet spruce</v>
      </c>
      <c r="D5" s="20" t="str">
        <f>'Phase CEMS PM Concentrations'!D5</f>
        <v>Startup</v>
      </c>
      <c r="E5" s="20" t="s">
        <v>434</v>
      </c>
      <c r="F5" s="48">
        <f>IF(ISBLANK('Phase CEMS PM Concentrations'!E5),"",'Phase CEMS PM Concentrations'!E5)</f>
        <v>44312.376388888886</v>
      </c>
      <c r="G5" s="48">
        <f>IF(ISBLANK('Phase CEMS PM Concentrations'!F5),"",'Phase CEMS PM Concentrations'!F5)</f>
        <v>44312.395833333336</v>
      </c>
      <c r="H5" s="9" t="str">
        <f>'[1]XRF Masses'!B31</f>
        <v>TF4721007</v>
      </c>
      <c r="I5" s="64" t="s">
        <v>435</v>
      </c>
      <c r="J5">
        <f>'[1]Teflon Filter Masses'!$R10</f>
        <v>0.65049999999999386</v>
      </c>
      <c r="K5" s="9">
        <f>'[1]XRF Masses'!J31</f>
        <v>0</v>
      </c>
      <c r="L5" s="9">
        <f>'[1]XRF Masses'!K31</f>
        <v>0</v>
      </c>
      <c r="M5" s="9">
        <f>'[1]XRF Masses'!L31</f>
        <v>0</v>
      </c>
      <c r="N5" s="9">
        <f>'[1]XRF Masses'!M31</f>
        <v>0.1333</v>
      </c>
      <c r="O5" s="9">
        <f>'[1]XRF Masses'!N31</f>
        <v>1.1299999999999999E-2</v>
      </c>
      <c r="P5" s="9">
        <f>'[1]XRF Masses'!O31</f>
        <v>1.2929999999999999</v>
      </c>
      <c r="Q5" s="9">
        <f>'[1]XRF Masses'!P31</f>
        <v>0.84519999999999995</v>
      </c>
      <c r="R5" s="9">
        <f>'[1]XRF Masses'!Q31</f>
        <v>1.1459999999999999</v>
      </c>
      <c r="S5" s="9">
        <f>'[1]XRF Masses'!R31</f>
        <v>0.24410000000000001</v>
      </c>
      <c r="T5" s="9">
        <f>'[1]XRF Masses'!S31</f>
        <v>1.5800000000000002E-2</v>
      </c>
      <c r="U5" s="9">
        <f>'[1]XRF Masses'!T31</f>
        <v>5.5999999999999999E-3</v>
      </c>
      <c r="V5" s="9">
        <f>'[1]XRF Masses'!U31</f>
        <v>0</v>
      </c>
      <c r="W5" s="9">
        <f>'[1]XRF Masses'!V31</f>
        <v>1.1299999999999999E-2</v>
      </c>
      <c r="X5" s="9">
        <f>'[1]XRF Masses'!W31</f>
        <v>2.1499999999999998E-2</v>
      </c>
      <c r="Y5" s="9">
        <f>'[1]XRF Masses'!X31</f>
        <v>1.1000000000000001E-3</v>
      </c>
      <c r="Z5" s="9">
        <f>'[1]XRF Masses'!Y31</f>
        <v>0</v>
      </c>
      <c r="AA5" s="9">
        <f>'[1]XRF Masses'!Z31</f>
        <v>0</v>
      </c>
      <c r="AB5" s="9">
        <f>'[1]XRF Masses'!AA31</f>
        <v>8.6999999999999994E-2</v>
      </c>
      <c r="AC5" s="9">
        <f>'[1]XRF Masses'!AB31</f>
        <v>2.3E-3</v>
      </c>
      <c r="AD5" s="9">
        <f>'[1]XRF Masses'!AC31</f>
        <v>3.3999999999999998E-3</v>
      </c>
      <c r="AE5" s="9">
        <f>'[1]XRF Masses'!AD31</f>
        <v>2.3E-3</v>
      </c>
      <c r="AF5" s="9">
        <f>'[1]XRF Masses'!AE31</f>
        <v>0</v>
      </c>
      <c r="AG5" s="9">
        <f>'[1]XRF Masses'!AF31</f>
        <v>2.3E-3</v>
      </c>
      <c r="AH5" s="9">
        <f>'[1]XRF Masses'!AG31</f>
        <v>3.3999999999999998E-3</v>
      </c>
      <c r="AI5" s="9">
        <f>'[1]XRF Masses'!AH31</f>
        <v>0</v>
      </c>
      <c r="AJ5" s="9">
        <f>'[1]XRF Masses'!AI31</f>
        <v>0</v>
      </c>
      <c r="AK5" s="9">
        <f>'[1]XRF Masses'!AJ31</f>
        <v>3.3999999999999998E-3</v>
      </c>
      <c r="AL5" s="9">
        <f>'[1]XRF Masses'!AK31</f>
        <v>0</v>
      </c>
      <c r="AM5" s="9">
        <f>'[1]XRF Masses'!AL31</f>
        <v>1.5800000000000002E-2</v>
      </c>
      <c r="AN5" s="9">
        <f>'[1]XRF Masses'!AM31</f>
        <v>4.07E-2</v>
      </c>
      <c r="AO5" s="9">
        <f>'[1]XRF Masses'!AN31</f>
        <v>0</v>
      </c>
      <c r="AP5" s="9">
        <f>'[1]XRF Masses'!AO31</f>
        <v>2.4899999999999999E-2</v>
      </c>
      <c r="AQ5" s="9">
        <f>'[1]XRF Masses'!AP31</f>
        <v>0</v>
      </c>
      <c r="AR5" s="9">
        <f>'[1]XRF Masses'!AQ31</f>
        <v>0</v>
      </c>
      <c r="AS5" s="9">
        <f>'[1]XRF Masses'!AR31</f>
        <v>0</v>
      </c>
      <c r="AT5" s="9">
        <f>'[1]XRF Masses'!AS31</f>
        <v>0</v>
      </c>
      <c r="AU5" s="9">
        <f>'[1]XRF Masses'!AT31</f>
        <v>4.4999999999999997E-3</v>
      </c>
      <c r="AV5" s="9">
        <f>'[1]XRF Masses'!AU31</f>
        <v>0</v>
      </c>
      <c r="AW5" s="9">
        <f>'[1]Quartz Filter Masses'!C9</f>
        <v>40.06</v>
      </c>
      <c r="AX5" s="9">
        <f>'[1]Quartz Filter Masses'!D9</f>
        <v>3.03</v>
      </c>
      <c r="AY5">
        <f>'[1]Quartz Back Filter Masses'!C8</f>
        <v>5.77</v>
      </c>
      <c r="AZ5">
        <f>'[1]Quartz Back Filter Masses'!D8</f>
        <v>0.06</v>
      </c>
      <c r="BA5" s="77">
        <f t="shared" si="0"/>
        <v>0.64469999999997185</v>
      </c>
      <c r="BB5" s="77">
        <f t="shared" si="1"/>
        <v>0.3610798941181389</v>
      </c>
      <c r="BC5" s="77">
        <f t="shared" si="2"/>
        <v>2.7509984389689733E-2</v>
      </c>
      <c r="BD5" s="92">
        <f t="shared" si="3"/>
        <v>5.0207991311875977E-2</v>
      </c>
      <c r="BE5" s="93">
        <f t="shared" si="4"/>
        <v>5.4475216613247E-4</v>
      </c>
      <c r="BF5" s="82">
        <v>2.52626E-2</v>
      </c>
      <c r="BG5" s="83">
        <v>2.5848599999999999E-2</v>
      </c>
      <c r="BH5" s="17">
        <f t="shared" si="5"/>
        <v>2.2930394903661028E-2</v>
      </c>
      <c r="BI5" s="30">
        <f t="shared" si="6"/>
        <v>25.51993856530887</v>
      </c>
      <c r="BJ5" s="102">
        <f t="shared" si="7"/>
        <v>0</v>
      </c>
      <c r="BK5" s="102">
        <f t="shared" si="8"/>
        <v>0</v>
      </c>
      <c r="BL5" s="102">
        <f t="shared" si="9"/>
        <v>0</v>
      </c>
      <c r="BM5" s="102">
        <f t="shared" si="10"/>
        <v>5.2765748576947737E-3</v>
      </c>
      <c r="BN5" s="102">
        <f t="shared" si="11"/>
        <v>4.4730154457577601E-4</v>
      </c>
      <c r="BO5" s="102">
        <f t="shared" si="12"/>
        <v>5.1182380277564464E-2</v>
      </c>
      <c r="BP5" s="102">
        <f t="shared" si="13"/>
        <v>3.3456572165968666E-2</v>
      </c>
      <c r="BQ5" s="102">
        <f t="shared" si="14"/>
        <v>4.5363501777330908E-2</v>
      </c>
      <c r="BR5" s="102">
        <f t="shared" si="15"/>
        <v>9.6625050469864547E-3</v>
      </c>
      <c r="BS5" s="102">
        <f t="shared" si="16"/>
        <v>6.2543047825639483E-4</v>
      </c>
      <c r="BT5" s="102">
        <f t="shared" si="17"/>
        <v>2.2167156191365891E-4</v>
      </c>
      <c r="BU5" s="102">
        <f t="shared" si="18"/>
        <v>0</v>
      </c>
      <c r="BV5" s="102">
        <f t="shared" si="19"/>
        <v>4.4730154457577601E-4</v>
      </c>
      <c r="BW5" s="102">
        <f t="shared" si="20"/>
        <v>8.5106046091851185E-4</v>
      </c>
      <c r="BX5" s="102">
        <f t="shared" si="21"/>
        <v>4.3542628233040152E-5</v>
      </c>
      <c r="BY5" s="102">
        <f t="shared" si="22"/>
        <v>0</v>
      </c>
      <c r="BZ5" s="102">
        <f t="shared" si="23"/>
        <v>0</v>
      </c>
      <c r="CA5" s="102">
        <f t="shared" si="24"/>
        <v>3.4438260511586295E-3</v>
      </c>
      <c r="CB5" s="102">
        <f t="shared" si="25"/>
        <v>9.1043677214538491E-5</v>
      </c>
      <c r="CC5" s="102">
        <f t="shared" si="26"/>
        <v>1.3458630544757862E-4</v>
      </c>
      <c r="CD5" s="102">
        <f t="shared" si="27"/>
        <v>9.1043677214538491E-5</v>
      </c>
      <c r="CE5" s="102">
        <f t="shared" si="28"/>
        <v>0</v>
      </c>
      <c r="CF5" s="102">
        <f t="shared" si="29"/>
        <v>9.1043677214538491E-5</v>
      </c>
      <c r="CG5" s="102">
        <f t="shared" si="30"/>
        <v>1.3458630544757862E-4</v>
      </c>
      <c r="CH5" s="102">
        <f t="shared" si="31"/>
        <v>0</v>
      </c>
      <c r="CI5" s="102">
        <f t="shared" si="32"/>
        <v>0</v>
      </c>
      <c r="CJ5" s="102">
        <f t="shared" si="33"/>
        <v>1.3458630544757862E-4</v>
      </c>
      <c r="CK5" s="102">
        <f t="shared" si="34"/>
        <v>0</v>
      </c>
      <c r="CL5" s="102">
        <f t="shared" si="35"/>
        <v>6.2543047825639483E-4</v>
      </c>
      <c r="CM5" s="102">
        <f t="shared" si="36"/>
        <v>1.6110772446224855E-3</v>
      </c>
      <c r="CN5" s="102">
        <f t="shared" si="37"/>
        <v>0</v>
      </c>
      <c r="CO5" s="102">
        <f t="shared" si="38"/>
        <v>9.8564676636609056E-4</v>
      </c>
      <c r="CP5" s="102">
        <f t="shared" si="39"/>
        <v>0</v>
      </c>
      <c r="CQ5" s="102">
        <f t="shared" si="40"/>
        <v>0</v>
      </c>
      <c r="CR5" s="102">
        <f t="shared" si="41"/>
        <v>0</v>
      </c>
      <c r="CS5" s="102">
        <f t="shared" si="42"/>
        <v>0</v>
      </c>
      <c r="CT5" s="102">
        <f t="shared" si="43"/>
        <v>1.7812893368061877E-4</v>
      </c>
      <c r="CU5" s="102">
        <f t="shared" si="44"/>
        <v>0</v>
      </c>
      <c r="CV5" s="30">
        <f t="shared" si="48"/>
        <v>11.981587431760929</v>
      </c>
      <c r="CW5" s="30">
        <f t="shared" si="49"/>
        <v>1.0427100873568762</v>
      </c>
      <c r="CX5" s="30">
        <f t="shared" si="45"/>
        <v>13.024297519117805</v>
      </c>
      <c r="CY5" s="2">
        <f t="shared" si="50"/>
        <v>25.511620205024126</v>
      </c>
      <c r="CZ5" s="18">
        <f t="shared" si="51"/>
        <v>0</v>
      </c>
      <c r="DA5" s="18">
        <f t="shared" si="52"/>
        <v>0</v>
      </c>
      <c r="DB5" s="18">
        <f t="shared" si="53"/>
        <v>0</v>
      </c>
      <c r="DC5" s="18">
        <f t="shared" si="54"/>
        <v>5.0371213263790664E-3</v>
      </c>
      <c r="DD5" s="18">
        <f t="shared" si="55"/>
        <v>4.3542329661734987E-4</v>
      </c>
      <c r="DE5" s="18">
        <f t="shared" si="56"/>
        <v>5.1079738709341342E-2</v>
      </c>
      <c r="DF5" s="18">
        <f t="shared" si="57"/>
        <v>3.3215702793094583E-2</v>
      </c>
      <c r="DG5" s="18">
        <f t="shared" si="58"/>
        <v>4.5047500553550043E-2</v>
      </c>
      <c r="DH5" s="18">
        <f t="shared" si="59"/>
        <v>9.0386781184041334E-3</v>
      </c>
      <c r="DI5" s="18">
        <f t="shared" si="60"/>
        <v>6.2064742109262301E-4</v>
      </c>
      <c r="DJ5" s="18">
        <f t="shared" si="61"/>
        <v>2.2167156191365891E-4</v>
      </c>
      <c r="DK5" s="18">
        <f t="shared" si="62"/>
        <v>0</v>
      </c>
      <c r="DL5" s="18">
        <f t="shared" si="63"/>
        <v>4.1378791640735944E-4</v>
      </c>
      <c r="DM5" s="18">
        <f t="shared" si="64"/>
        <v>5.7326456607139384E-4</v>
      </c>
      <c r="DN5" s="18">
        <f t="shared" si="65"/>
        <v>3.8664062107257991E-5</v>
      </c>
      <c r="DO5" s="18">
        <f t="shared" si="66"/>
        <v>0</v>
      </c>
      <c r="DP5" s="18">
        <f t="shared" si="67"/>
        <v>0</v>
      </c>
      <c r="DQ5" s="18">
        <f t="shared" si="68"/>
        <v>3.3723437901797119E-3</v>
      </c>
      <c r="DR5" s="18">
        <f t="shared" si="69"/>
        <v>6.4928707809906958E-5</v>
      </c>
      <c r="DS5" s="18">
        <f t="shared" si="70"/>
        <v>1.3458630544757862E-4</v>
      </c>
      <c r="DT5" s="18">
        <f t="shared" si="71"/>
        <v>7.9165429256112364E-5</v>
      </c>
      <c r="DU5" s="18">
        <f t="shared" si="72"/>
        <v>0</v>
      </c>
      <c r="DV5" s="18">
        <f t="shared" si="73"/>
        <v>8.616511108875633E-5</v>
      </c>
      <c r="DW5" s="18">
        <f t="shared" si="74"/>
        <v>1.3458630544757862E-4</v>
      </c>
      <c r="DX5" s="18">
        <f t="shared" si="75"/>
        <v>0</v>
      </c>
      <c r="DY5" s="18">
        <f t="shared" si="76"/>
        <v>0</v>
      </c>
      <c r="DZ5" s="18">
        <f t="shared" si="77"/>
        <v>1.3458630544757862E-4</v>
      </c>
      <c r="EA5" s="18">
        <f t="shared" si="78"/>
        <v>0</v>
      </c>
      <c r="EB5" s="18">
        <f t="shared" si="79"/>
        <v>6.2543047825639483E-4</v>
      </c>
      <c r="EC5" s="18">
        <f t="shared" si="80"/>
        <v>1.6110772446224855E-3</v>
      </c>
      <c r="ED5" s="18">
        <f t="shared" si="81"/>
        <v>0</v>
      </c>
      <c r="EE5" s="18">
        <f t="shared" si="82"/>
        <v>9.8564676636609056E-4</v>
      </c>
      <c r="EF5" s="18">
        <f t="shared" si="83"/>
        <v>0</v>
      </c>
      <c r="EG5" s="18">
        <f t="shared" si="84"/>
        <v>0</v>
      </c>
      <c r="EH5" s="18">
        <f t="shared" si="85"/>
        <v>0</v>
      </c>
      <c r="EI5" s="18">
        <f t="shared" si="86"/>
        <v>0</v>
      </c>
      <c r="EJ5" s="18">
        <f t="shared" si="87"/>
        <v>1.7812893368061877E-4</v>
      </c>
      <c r="EK5" s="18">
        <f t="shared" si="88"/>
        <v>0</v>
      </c>
      <c r="EL5" s="2">
        <f t="shared" si="89"/>
        <v>11.97327588583636</v>
      </c>
      <c r="EM5" s="2">
        <f t="shared" si="90"/>
        <v>1.0427100873568762</v>
      </c>
      <c r="EN5" s="103">
        <f>SUM(CZ5:EM5)</f>
        <v>13.169114818895819</v>
      </c>
      <c r="EO5" s="103">
        <f t="shared" si="93"/>
        <v>25.511620205024126</v>
      </c>
      <c r="EP5" s="112">
        <f t="shared" si="46"/>
        <v>7.0794392523364474E-2</v>
      </c>
      <c r="EQ5" s="114">
        <f t="shared" si="47"/>
        <v>0.92920560747663561</v>
      </c>
      <c r="HH5">
        <f t="shared" ref="HH5:HH25" si="94">CV5/BI5</f>
        <v>0.46949907034840521</v>
      </c>
      <c r="HI5" s="36">
        <f t="shared" si="91"/>
        <v>0.56007428899977452</v>
      </c>
      <c r="HJ5">
        <f t="shared" ref="HJ5:HJ25" si="95">CW5/BI5</f>
        <v>4.0858644102470872E-2</v>
      </c>
      <c r="HK5">
        <f t="shared" si="92"/>
        <v>4.2670985558695418E-2</v>
      </c>
      <c r="HM5" s="36">
        <f t="shared" ref="HM5:HM25" si="96">CX5/BI5</f>
        <v>0.51035771445087608</v>
      </c>
    </row>
    <row r="6" spans="1:221">
      <c r="A6" s="20">
        <f>'Phase CEMS PM Concentrations'!A6</f>
        <v>44312</v>
      </c>
      <c r="B6" s="20" t="str">
        <f>'Phase CEMS PM Concentrations'!B6</f>
        <v>BK Princess</v>
      </c>
      <c r="C6" s="20" t="str">
        <f>'Phase CEMS PM Concentrations'!C6</f>
        <v>Wet spruce</v>
      </c>
      <c r="D6" s="20" t="str">
        <f>'Phase CEMS PM Concentrations'!D6</f>
        <v>High</v>
      </c>
      <c r="E6" s="20" t="s">
        <v>436</v>
      </c>
      <c r="F6" s="48">
        <f>IF(ISBLANK('Phase CEMS PM Concentrations'!E6),"",'Phase CEMS PM Concentrations'!E6)</f>
        <v>44312.397222222222</v>
      </c>
      <c r="G6" s="48">
        <f>IF(ISBLANK('Phase CEMS PM Concentrations'!F6),"",'Phase CEMS PM Concentrations'!F6)</f>
        <v>44312.567361111112</v>
      </c>
      <c r="H6" s="9" t="str">
        <f>'[1]XRF Masses'!B32</f>
        <v>TF4721006</v>
      </c>
      <c r="I6" s="64" t="s">
        <v>437</v>
      </c>
      <c r="J6">
        <f>'[1]Teflon Filter Masses'!$R11</f>
        <v>0.75780000000000314</v>
      </c>
      <c r="K6" s="9">
        <f>'[1]XRF Masses'!J32</f>
        <v>0</v>
      </c>
      <c r="L6" s="9">
        <f>'[1]XRF Masses'!K32</f>
        <v>0</v>
      </c>
      <c r="M6" s="9">
        <f>'[1]XRF Masses'!L32</f>
        <v>0</v>
      </c>
      <c r="N6" s="9">
        <f>'[1]XRF Masses'!M32</f>
        <v>0</v>
      </c>
      <c r="O6" s="9">
        <f>'[1]XRF Masses'!N32</f>
        <v>3.1600000000000003E-2</v>
      </c>
      <c r="P6" s="9">
        <f>'[1]XRF Masses'!O32</f>
        <v>1.196</v>
      </c>
      <c r="Q6" s="9">
        <f>'[1]XRF Masses'!P32</f>
        <v>1.268</v>
      </c>
      <c r="R6" s="9">
        <f>'[1]XRF Masses'!Q32</f>
        <v>4.1989999999999998</v>
      </c>
      <c r="S6" s="9">
        <f>'[1]XRF Masses'!R32</f>
        <v>0.55030000000000001</v>
      </c>
      <c r="T6" s="9">
        <f>'[1]XRF Masses'!S32</f>
        <v>0</v>
      </c>
      <c r="U6" s="9">
        <f>'[1]XRF Masses'!T32</f>
        <v>0</v>
      </c>
      <c r="V6" s="9">
        <f>'[1]XRF Masses'!U32</f>
        <v>1.47E-2</v>
      </c>
      <c r="W6" s="9">
        <f>'[1]XRF Masses'!V32</f>
        <v>2.5999999999999999E-2</v>
      </c>
      <c r="X6" s="9">
        <f>'[1]XRF Masses'!W32</f>
        <v>2.4899999999999999E-2</v>
      </c>
      <c r="Y6" s="9">
        <f>'[1]XRF Masses'!X32</f>
        <v>0</v>
      </c>
      <c r="Z6" s="9">
        <f>'[1]XRF Masses'!Y32</f>
        <v>1.1000000000000001E-3</v>
      </c>
      <c r="AA6" s="9">
        <f>'[1]XRF Masses'!Z32</f>
        <v>0</v>
      </c>
      <c r="AB6" s="9">
        <f>'[1]XRF Masses'!AA32</f>
        <v>0.53680000000000005</v>
      </c>
      <c r="AC6" s="9">
        <f>'[1]XRF Masses'!AB32</f>
        <v>4.4999999999999997E-3</v>
      </c>
      <c r="AD6" s="9">
        <f>'[1]XRF Masses'!AC32</f>
        <v>1.1000000000000001E-3</v>
      </c>
      <c r="AE6" s="9">
        <f>'[1]XRF Masses'!AD32</f>
        <v>0</v>
      </c>
      <c r="AF6" s="9">
        <f>'[1]XRF Masses'!AE32</f>
        <v>1.1000000000000001E-3</v>
      </c>
      <c r="AG6" s="9">
        <f>'[1]XRF Masses'!AF32</f>
        <v>4.4999999999999997E-3</v>
      </c>
      <c r="AH6" s="9">
        <f>'[1]XRF Masses'!AG32</f>
        <v>1.9199999999999998E-2</v>
      </c>
      <c r="AI6" s="9">
        <f>'[1]XRF Masses'!AH32</f>
        <v>0</v>
      </c>
      <c r="AJ6" s="9">
        <f>'[1]XRF Masses'!AI32</f>
        <v>0</v>
      </c>
      <c r="AK6" s="9">
        <f>'[1]XRF Masses'!AJ32</f>
        <v>0</v>
      </c>
      <c r="AL6" s="9">
        <f>'[1]XRF Masses'!AK32</f>
        <v>0</v>
      </c>
      <c r="AM6" s="9">
        <f>'[1]XRF Masses'!AL32</f>
        <v>4.4999999999999997E-3</v>
      </c>
      <c r="AN6" s="9">
        <f>'[1]XRF Masses'!AM32</f>
        <v>0</v>
      </c>
      <c r="AO6" s="9">
        <f>'[1]XRF Masses'!AN32</f>
        <v>4.1799999999999997E-2</v>
      </c>
      <c r="AP6" s="9">
        <f>'[1]XRF Masses'!AO32</f>
        <v>0</v>
      </c>
      <c r="AQ6" s="9">
        <f>'[1]XRF Masses'!AP32</f>
        <v>0</v>
      </c>
      <c r="AR6" s="9">
        <f>'[1]XRF Masses'!AQ32</f>
        <v>0</v>
      </c>
      <c r="AS6" s="9">
        <f>'[1]XRF Masses'!AR32</f>
        <v>0</v>
      </c>
      <c r="AT6" s="9">
        <f>'[1]XRF Masses'!AS32</f>
        <v>0</v>
      </c>
      <c r="AU6" s="9">
        <f>'[1]XRF Masses'!AT32</f>
        <v>0</v>
      </c>
      <c r="AV6" s="9">
        <f>'[1]XRF Masses'!AU32</f>
        <v>4.4999999999999997E-3</v>
      </c>
      <c r="AW6" s="9">
        <f>'[1]Quartz Filter Masses'!C10</f>
        <v>47.32</v>
      </c>
      <c r="AX6" s="9">
        <f>'[1]Quartz Filter Masses'!D10</f>
        <v>2.21</v>
      </c>
      <c r="AY6">
        <f>'[1]Quartz Back Filter Masses'!C9</f>
        <v>8.4499999999999993</v>
      </c>
      <c r="AZ6">
        <f>'[1]Quartz Back Filter Masses'!D9</f>
        <v>0.11</v>
      </c>
      <c r="BA6" s="77">
        <f t="shared" si="0"/>
        <v>0.75199999999998113</v>
      </c>
      <c r="BB6" s="77">
        <f t="shared" si="1"/>
        <v>0.42699490622016778</v>
      </c>
      <c r="BC6" s="77">
        <f t="shared" si="2"/>
        <v>2.0065038119212644E-2</v>
      </c>
      <c r="BD6" s="92">
        <f t="shared" si="3"/>
        <v>7.4540254732459649E-2</v>
      </c>
      <c r="BE6" s="93">
        <f t="shared" si="4"/>
        <v>9.9871230457619512E-4</v>
      </c>
      <c r="BF6" s="82">
        <v>0.220327</v>
      </c>
      <c r="BG6" s="83">
        <v>0.22462599999999999</v>
      </c>
      <c r="BH6" s="17">
        <f t="shared" si="5"/>
        <v>1.932338921189428E-2</v>
      </c>
      <c r="BI6" s="30">
        <f t="shared" si="6"/>
        <v>3.4131086975267722</v>
      </c>
      <c r="BJ6" s="102">
        <f t="shared" si="7"/>
        <v>0</v>
      </c>
      <c r="BK6" s="102">
        <f t="shared" si="8"/>
        <v>0</v>
      </c>
      <c r="BL6" s="102">
        <f t="shared" si="9"/>
        <v>0</v>
      </c>
      <c r="BM6" s="102">
        <f t="shared" si="10"/>
        <v>0</v>
      </c>
      <c r="BN6" s="102">
        <f t="shared" si="11"/>
        <v>1.4342318463011797E-4</v>
      </c>
      <c r="BO6" s="102">
        <f t="shared" si="12"/>
        <v>5.4282952157475028E-3</v>
      </c>
      <c r="BP6" s="102">
        <f t="shared" si="13"/>
        <v>5.7550822187022021E-3</v>
      </c>
      <c r="BQ6" s="102">
        <f t="shared" si="14"/>
        <v>1.9058036463983078E-2</v>
      </c>
      <c r="BR6" s="102">
        <f t="shared" si="15"/>
        <v>2.497651218416263E-3</v>
      </c>
      <c r="BS6" s="102">
        <f t="shared" si="16"/>
        <v>0</v>
      </c>
      <c r="BT6" s="102">
        <f t="shared" si="17"/>
        <v>0</v>
      </c>
      <c r="BU6" s="102">
        <f t="shared" si="18"/>
        <v>6.6719013103251078E-5</v>
      </c>
      <c r="BV6" s="102">
        <f t="shared" si="19"/>
        <v>1.1800641773364136E-4</v>
      </c>
      <c r="BW6" s="102">
        <f t="shared" si="20"/>
        <v>1.1301383852183345E-4</v>
      </c>
      <c r="BX6" s="102">
        <f t="shared" si="21"/>
        <v>0</v>
      </c>
      <c r="BY6" s="102">
        <f t="shared" si="22"/>
        <v>4.9925792118079038E-6</v>
      </c>
      <c r="BZ6" s="102">
        <f t="shared" si="23"/>
        <v>0</v>
      </c>
      <c r="CA6" s="102">
        <f t="shared" si="24"/>
        <v>2.4363786553622574E-3</v>
      </c>
      <c r="CB6" s="102">
        <f t="shared" si="25"/>
        <v>2.0424187684668696E-5</v>
      </c>
      <c r="CC6" s="102">
        <f t="shared" si="26"/>
        <v>4.9925792118079038E-6</v>
      </c>
      <c r="CD6" s="102">
        <f t="shared" si="27"/>
        <v>0</v>
      </c>
      <c r="CE6" s="102">
        <f t="shared" si="28"/>
        <v>4.9925792118079038E-6</v>
      </c>
      <c r="CF6" s="102">
        <f t="shared" si="29"/>
        <v>2.0424187684668696E-5</v>
      </c>
      <c r="CG6" s="102">
        <f t="shared" si="30"/>
        <v>8.7143200787919767E-5</v>
      </c>
      <c r="CH6" s="102">
        <f t="shared" si="31"/>
        <v>0</v>
      </c>
      <c r="CI6" s="102">
        <f t="shared" si="32"/>
        <v>0</v>
      </c>
      <c r="CJ6" s="102">
        <f t="shared" si="33"/>
        <v>0</v>
      </c>
      <c r="CK6" s="102">
        <f t="shared" si="34"/>
        <v>0</v>
      </c>
      <c r="CL6" s="102">
        <f t="shared" si="35"/>
        <v>2.0424187684668696E-5</v>
      </c>
      <c r="CM6" s="102">
        <f t="shared" si="36"/>
        <v>0</v>
      </c>
      <c r="CN6" s="102">
        <f t="shared" si="37"/>
        <v>1.8971801004870033E-4</v>
      </c>
      <c r="CO6" s="102">
        <f t="shared" si="38"/>
        <v>0</v>
      </c>
      <c r="CP6" s="102">
        <f t="shared" si="39"/>
        <v>0</v>
      </c>
      <c r="CQ6" s="102">
        <f t="shared" si="40"/>
        <v>0</v>
      </c>
      <c r="CR6" s="102">
        <f t="shared" si="41"/>
        <v>0</v>
      </c>
      <c r="CS6" s="102">
        <f t="shared" si="42"/>
        <v>0</v>
      </c>
      <c r="CT6" s="102">
        <f t="shared" si="43"/>
        <v>0</v>
      </c>
      <c r="CU6" s="102">
        <f t="shared" si="44"/>
        <v>2.0424187684668696E-5</v>
      </c>
      <c r="CV6" s="30">
        <f t="shared" si="48"/>
        <v>1.5625984033332925</v>
      </c>
      <c r="CW6" s="30">
        <f t="shared" si="49"/>
        <v>8.4793563669071134E-2</v>
      </c>
      <c r="CX6" s="30">
        <f t="shared" si="45"/>
        <v>1.6473919670023636</v>
      </c>
      <c r="CY6" s="2">
        <f t="shared" si="50"/>
        <v>3.4047903372420301</v>
      </c>
      <c r="CZ6" s="18">
        <f t="shared" si="51"/>
        <v>0</v>
      </c>
      <c r="DA6" s="18">
        <f t="shared" si="52"/>
        <v>0</v>
      </c>
      <c r="DB6" s="18">
        <f t="shared" si="53"/>
        <v>0</v>
      </c>
      <c r="DC6" s="18">
        <f t="shared" si="54"/>
        <v>0</v>
      </c>
      <c r="DD6" s="18">
        <f t="shared" si="55"/>
        <v>1.3154493667169183E-4</v>
      </c>
      <c r="DE6" s="18">
        <f t="shared" si="56"/>
        <v>5.3256536475243827E-3</v>
      </c>
      <c r="DF6" s="18">
        <f t="shared" si="57"/>
        <v>5.5142128458281212E-3</v>
      </c>
      <c r="DG6" s="18">
        <f t="shared" si="58"/>
        <v>1.8742035240202216E-2</v>
      </c>
      <c r="DH6" s="18">
        <f t="shared" si="59"/>
        <v>1.8738242898339408E-3</v>
      </c>
      <c r="DI6" s="18">
        <f t="shared" si="60"/>
        <v>0</v>
      </c>
      <c r="DJ6" s="18">
        <f t="shared" si="61"/>
        <v>0</v>
      </c>
      <c r="DK6" s="18">
        <f t="shared" si="62"/>
        <v>0</v>
      </c>
      <c r="DL6" s="18">
        <f t="shared" si="63"/>
        <v>8.4492789565224769E-5</v>
      </c>
      <c r="DM6" s="18">
        <f t="shared" si="64"/>
        <v>0</v>
      </c>
      <c r="DN6" s="18">
        <f t="shared" si="65"/>
        <v>0</v>
      </c>
      <c r="DO6" s="18">
        <f t="shared" si="66"/>
        <v>0</v>
      </c>
      <c r="DP6" s="18">
        <f t="shared" si="67"/>
        <v>0</v>
      </c>
      <c r="DQ6" s="18">
        <f t="shared" si="68"/>
        <v>2.3648963943833398E-3</v>
      </c>
      <c r="DR6" s="18">
        <f t="shared" si="69"/>
        <v>0</v>
      </c>
      <c r="DS6" s="18">
        <f t="shared" si="70"/>
        <v>4.9925792118079038E-6</v>
      </c>
      <c r="DT6" s="18">
        <f t="shared" si="71"/>
        <v>0</v>
      </c>
      <c r="DU6" s="18">
        <f t="shared" si="72"/>
        <v>4.9925792118079038E-6</v>
      </c>
      <c r="DV6" s="18">
        <f t="shared" si="73"/>
        <v>1.5545621558886535E-5</v>
      </c>
      <c r="DW6" s="18">
        <f t="shared" si="74"/>
        <v>8.7143200787919767E-5</v>
      </c>
      <c r="DX6" s="18">
        <f t="shared" si="75"/>
        <v>0</v>
      </c>
      <c r="DY6" s="18">
        <f t="shared" si="76"/>
        <v>0</v>
      </c>
      <c r="DZ6" s="18">
        <f t="shared" si="77"/>
        <v>0</v>
      </c>
      <c r="EA6" s="18">
        <f t="shared" si="78"/>
        <v>0</v>
      </c>
      <c r="EB6" s="18">
        <f t="shared" si="79"/>
        <v>2.0424187684668696E-5</v>
      </c>
      <c r="EC6" s="18">
        <f t="shared" si="80"/>
        <v>0</v>
      </c>
      <c r="ED6" s="18">
        <f t="shared" si="81"/>
        <v>1.7328924848617952E-4</v>
      </c>
      <c r="EE6" s="18">
        <f t="shared" si="82"/>
        <v>0</v>
      </c>
      <c r="EF6" s="18">
        <f t="shared" si="83"/>
        <v>0</v>
      </c>
      <c r="EG6" s="18">
        <f t="shared" si="84"/>
        <v>0</v>
      </c>
      <c r="EH6" s="18">
        <f t="shared" si="85"/>
        <v>0</v>
      </c>
      <c r="EI6" s="18">
        <f t="shared" si="86"/>
        <v>0</v>
      </c>
      <c r="EJ6" s="18">
        <f t="shared" si="87"/>
        <v>0</v>
      </c>
      <c r="EK6" s="18">
        <f t="shared" si="88"/>
        <v>6.2829752004735817E-6</v>
      </c>
      <c r="EL6" s="2">
        <f t="shared" si="89"/>
        <v>1.5542868574087243</v>
      </c>
      <c r="EM6" s="2">
        <f t="shared" si="90"/>
        <v>8.4793563669071134E-2</v>
      </c>
      <c r="EN6" s="103">
        <f t="shared" ref="EN6:EN24" si="97">SUM(CZ6:EM6)</f>
        <v>1.673429751613946</v>
      </c>
      <c r="EO6" s="103">
        <f t="shared" si="93"/>
        <v>3.4047903372420301</v>
      </c>
      <c r="EP6" s="112">
        <f t="shared" si="46"/>
        <v>4.4882209585702673E-2</v>
      </c>
      <c r="EQ6" s="114">
        <f t="shared" si="47"/>
        <v>0.95511779041429734</v>
      </c>
      <c r="HH6">
        <f t="shared" si="94"/>
        <v>0.45782263086598801</v>
      </c>
      <c r="HI6" s="36">
        <f t="shared" si="91"/>
        <v>0.56781237529279061</v>
      </c>
      <c r="HJ6">
        <f t="shared" si="95"/>
        <v>2.4843499338452001E-2</v>
      </c>
      <c r="HK6">
        <f t="shared" si="92"/>
        <v>2.6682231541506844E-2</v>
      </c>
      <c r="HM6" s="36">
        <f t="shared" si="96"/>
        <v>0.48266613020443999</v>
      </c>
    </row>
    <row r="7" spans="1:221">
      <c r="A7" s="20">
        <f>'Phase CEMS PM Concentrations'!A7</f>
        <v>44313</v>
      </c>
      <c r="B7" s="20" t="str">
        <f>'Phase CEMS PM Concentrations'!B7</f>
        <v>BK Princess</v>
      </c>
      <c r="C7" s="20" t="str">
        <f>'Phase CEMS PM Concentrations'!C7</f>
        <v>Wet spruce</v>
      </c>
      <c r="D7" s="20" t="str">
        <f>'Phase CEMS PM Concentrations'!D7</f>
        <v>Startup</v>
      </c>
      <c r="E7" s="20" t="s">
        <v>438</v>
      </c>
      <c r="F7" s="48">
        <f>IF(ISBLANK('Phase CEMS PM Concentrations'!E7),"",'Phase CEMS PM Concentrations'!E7)</f>
        <v>44313.375</v>
      </c>
      <c r="G7" s="48">
        <f>IF(ISBLANK('Phase CEMS PM Concentrations'!F7),"",'Phase CEMS PM Concentrations'!F7)</f>
        <v>44313.390972222223</v>
      </c>
      <c r="H7" s="9" t="str">
        <f>'[1]XRF Masses'!B33</f>
        <v>TF4721009</v>
      </c>
      <c r="I7" s="64" t="s">
        <v>439</v>
      </c>
      <c r="J7">
        <f>'[1]Teflon Filter Masses'!$R12</f>
        <v>0.44599999999999795</v>
      </c>
      <c r="K7" s="9">
        <f>'[1]XRF Masses'!J33</f>
        <v>8.8099999999999998E-2</v>
      </c>
      <c r="L7" s="9">
        <f>'[1]XRF Masses'!K33</f>
        <v>0.20230000000000001</v>
      </c>
      <c r="M7" s="9">
        <f>'[1]XRF Masses'!L33</f>
        <v>0</v>
      </c>
      <c r="N7" s="9">
        <f>'[1]XRF Masses'!M33</f>
        <v>3.1600000000000003E-2</v>
      </c>
      <c r="O7" s="9">
        <f>'[1]XRF Masses'!N33</f>
        <v>0</v>
      </c>
      <c r="P7" s="9">
        <f>'[1]XRF Masses'!O33</f>
        <v>0.51870000000000005</v>
      </c>
      <c r="Q7" s="9">
        <f>'[1]XRF Masses'!P33</f>
        <v>0.52429999999999999</v>
      </c>
      <c r="R7" s="9">
        <f>'[1]XRF Masses'!Q33</f>
        <v>0.81130000000000002</v>
      </c>
      <c r="S7" s="9">
        <f>'[1]XRF Masses'!R33</f>
        <v>0.18529999999999999</v>
      </c>
      <c r="T7" s="9">
        <f>'[1]XRF Masses'!S33</f>
        <v>0</v>
      </c>
      <c r="U7" s="9">
        <f>'[1]XRF Masses'!T33</f>
        <v>4.4999999999999997E-3</v>
      </c>
      <c r="V7" s="9">
        <f>'[1]XRF Masses'!U33</f>
        <v>0</v>
      </c>
      <c r="W7" s="9">
        <f>'[1]XRF Masses'!V33</f>
        <v>3.3999999999999998E-3</v>
      </c>
      <c r="X7" s="9">
        <f>'[1]XRF Masses'!W33</f>
        <v>1.1299999999999999E-2</v>
      </c>
      <c r="Y7" s="9">
        <f>'[1]XRF Masses'!X33</f>
        <v>1.1000000000000001E-3</v>
      </c>
      <c r="Z7" s="9">
        <f>'[1]XRF Masses'!Y33</f>
        <v>0</v>
      </c>
      <c r="AA7" s="9">
        <f>'[1]XRF Masses'!Z33</f>
        <v>1.1000000000000001E-3</v>
      </c>
      <c r="AB7" s="9">
        <f>'[1]XRF Masses'!AA33</f>
        <v>9.3799999999999994E-2</v>
      </c>
      <c r="AC7" s="9">
        <f>'[1]XRF Masses'!AB33</f>
        <v>0</v>
      </c>
      <c r="AD7" s="9">
        <f>'[1]XRF Masses'!AC33</f>
        <v>0</v>
      </c>
      <c r="AE7" s="9">
        <f>'[1]XRF Masses'!AD33</f>
        <v>0</v>
      </c>
      <c r="AF7" s="9">
        <f>'[1]XRF Masses'!AE33</f>
        <v>0</v>
      </c>
      <c r="AG7" s="9">
        <f>'[1]XRF Masses'!AF33</f>
        <v>2.3E-3</v>
      </c>
      <c r="AH7" s="9">
        <f>'[1]XRF Masses'!AG33</f>
        <v>0</v>
      </c>
      <c r="AI7" s="9">
        <f>'[1]XRF Masses'!AH33</f>
        <v>5.5999999999999999E-3</v>
      </c>
      <c r="AJ7" s="9">
        <f>'[1]XRF Masses'!AI33</f>
        <v>0</v>
      </c>
      <c r="AK7" s="9">
        <f>'[1]XRF Masses'!AJ33</f>
        <v>1.5800000000000002E-2</v>
      </c>
      <c r="AL7" s="9">
        <f>'[1]XRF Masses'!AK33</f>
        <v>0</v>
      </c>
      <c r="AM7" s="9">
        <f>'[1]XRF Masses'!AL33</f>
        <v>0</v>
      </c>
      <c r="AN7" s="9">
        <f>'[1]XRF Masses'!AM33</f>
        <v>0</v>
      </c>
      <c r="AO7" s="9">
        <f>'[1]XRF Masses'!AN33</f>
        <v>2.8199999999999999E-2</v>
      </c>
      <c r="AP7" s="9">
        <f>'[1]XRF Masses'!AO33</f>
        <v>0</v>
      </c>
      <c r="AQ7" s="9">
        <f>'[1]XRF Masses'!AP33</f>
        <v>4.7500000000000001E-2</v>
      </c>
      <c r="AR7" s="9">
        <f>'[1]XRF Masses'!AQ33</f>
        <v>0</v>
      </c>
      <c r="AS7" s="9">
        <f>'[1]XRF Masses'!AR33</f>
        <v>5.7599999999999998E-2</v>
      </c>
      <c r="AT7" s="9">
        <f>'[1]XRF Masses'!AS33</f>
        <v>1.5800000000000002E-2</v>
      </c>
      <c r="AU7" s="9">
        <f>'[1]XRF Masses'!AT33</f>
        <v>0</v>
      </c>
      <c r="AV7" s="9">
        <f>'[1]XRF Masses'!AU33</f>
        <v>7.9000000000000008E-3</v>
      </c>
      <c r="AW7" s="9">
        <f>'[1]Quartz Filter Masses'!C11</f>
        <v>31.48</v>
      </c>
      <c r="AX7" s="9">
        <f>'[1]Quartz Filter Masses'!D11</f>
        <v>1.91</v>
      </c>
      <c r="AY7">
        <f>'[1]Quartz Back Filter Masses'!C10</f>
        <v>4.8099999999999996</v>
      </c>
      <c r="AZ7">
        <f>'[1]Quartz Back Filter Masses'!D10</f>
        <v>0.03</v>
      </c>
      <c r="BA7" s="77">
        <f t="shared" si="0"/>
        <v>0.44019999999997594</v>
      </c>
      <c r="BB7" s="77">
        <f t="shared" si="1"/>
        <v>0.28318033436119566</v>
      </c>
      <c r="BC7" s="77">
        <f t="shared" si="2"/>
        <v>1.7341277288550293E-2</v>
      </c>
      <c r="BD7" s="92">
        <f t="shared" si="3"/>
        <v>4.1491956653756462E-2</v>
      </c>
      <c r="BE7" s="93">
        <f t="shared" si="4"/>
        <v>2.72376083066235E-4</v>
      </c>
      <c r="BF7" s="82">
        <v>2.16277E-2</v>
      </c>
      <c r="BG7" s="83">
        <v>2.1676399999999998E-2</v>
      </c>
      <c r="BH7" s="50">
        <f t="shared" si="5"/>
        <v>2.2492096591315257E-3</v>
      </c>
      <c r="BI7" s="30">
        <f t="shared" si="6"/>
        <v>20.353528114407723</v>
      </c>
      <c r="BJ7" s="102">
        <f t="shared" si="7"/>
        <v>4.0734798429791427E-3</v>
      </c>
      <c r="BK7" s="102">
        <f t="shared" si="8"/>
        <v>9.3537454283164657E-3</v>
      </c>
      <c r="BL7" s="102">
        <f t="shared" si="9"/>
        <v>0</v>
      </c>
      <c r="BM7" s="102">
        <f t="shared" si="10"/>
        <v>1.4610892512842328E-3</v>
      </c>
      <c r="BN7" s="102">
        <f t="shared" si="11"/>
        <v>0</v>
      </c>
      <c r="BO7" s="102">
        <f t="shared" si="12"/>
        <v>2.398313274180796E-2</v>
      </c>
      <c r="BP7" s="102">
        <f t="shared" si="13"/>
        <v>2.4242059950896306E-2</v>
      </c>
      <c r="BQ7" s="102">
        <f t="shared" si="14"/>
        <v>3.7512079416673991E-2</v>
      </c>
      <c r="BR7" s="102">
        <f t="shared" si="15"/>
        <v>8.5677164007268471E-3</v>
      </c>
      <c r="BS7" s="102">
        <f t="shared" si="16"/>
        <v>0</v>
      </c>
      <c r="BT7" s="102">
        <f t="shared" si="17"/>
        <v>2.0806650730313439E-4</v>
      </c>
      <c r="BU7" s="102">
        <f t="shared" si="18"/>
        <v>0</v>
      </c>
      <c r="BV7" s="102">
        <f t="shared" si="19"/>
        <v>1.5720580551792376E-4</v>
      </c>
      <c r="BW7" s="102">
        <f t="shared" si="20"/>
        <v>5.2247811833898189E-4</v>
      </c>
      <c r="BX7" s="102">
        <f t="shared" si="21"/>
        <v>5.0860701785210637E-5</v>
      </c>
      <c r="BY7" s="102">
        <f t="shared" si="22"/>
        <v>0</v>
      </c>
      <c r="BZ7" s="102">
        <f t="shared" si="23"/>
        <v>5.0860701785210637E-5</v>
      </c>
      <c r="CA7" s="102">
        <f t="shared" si="24"/>
        <v>4.3370307522297789E-3</v>
      </c>
      <c r="CB7" s="102">
        <f t="shared" si="25"/>
        <v>0</v>
      </c>
      <c r="CC7" s="102">
        <f t="shared" si="26"/>
        <v>0</v>
      </c>
      <c r="CD7" s="102">
        <f t="shared" si="27"/>
        <v>0</v>
      </c>
      <c r="CE7" s="102">
        <f t="shared" si="28"/>
        <v>0</v>
      </c>
      <c r="CF7" s="102">
        <f t="shared" si="29"/>
        <v>1.0634510373271313E-4</v>
      </c>
      <c r="CG7" s="102">
        <f t="shared" si="30"/>
        <v>0</v>
      </c>
      <c r="CH7" s="102">
        <f t="shared" si="31"/>
        <v>2.5892720908834505E-4</v>
      </c>
      <c r="CI7" s="102">
        <f t="shared" si="32"/>
        <v>0</v>
      </c>
      <c r="CJ7" s="102">
        <f t="shared" si="33"/>
        <v>7.3054462564211642E-4</v>
      </c>
      <c r="CK7" s="102">
        <f t="shared" si="34"/>
        <v>0</v>
      </c>
      <c r="CL7" s="102">
        <f t="shared" si="35"/>
        <v>0</v>
      </c>
      <c r="CM7" s="102">
        <f t="shared" si="36"/>
        <v>0</v>
      </c>
      <c r="CN7" s="102">
        <f t="shared" si="37"/>
        <v>1.3038834457663089E-3</v>
      </c>
      <c r="CO7" s="102">
        <f t="shared" si="38"/>
        <v>0</v>
      </c>
      <c r="CP7" s="102">
        <f t="shared" si="39"/>
        <v>2.1962575770886408E-3</v>
      </c>
      <c r="CQ7" s="102">
        <f t="shared" si="40"/>
        <v>0</v>
      </c>
      <c r="CR7" s="102">
        <f t="shared" si="41"/>
        <v>2.6632512934801206E-3</v>
      </c>
      <c r="CS7" s="102">
        <f t="shared" si="42"/>
        <v>7.3054462564211642E-4</v>
      </c>
      <c r="CT7" s="102">
        <f t="shared" si="43"/>
        <v>0</v>
      </c>
      <c r="CU7" s="102">
        <f t="shared" si="44"/>
        <v>3.6527231282105821E-4</v>
      </c>
      <c r="CV7" s="30">
        <f t="shared" si="48"/>
        <v>11.14552917121153</v>
      </c>
      <c r="CW7" s="30">
        <f t="shared" si="49"/>
        <v>0.78741340281706063</v>
      </c>
      <c r="CX7" s="30">
        <f t="shared" si="45"/>
        <v>11.932942574028591</v>
      </c>
      <c r="CY7" s="2">
        <f t="shared" si="50"/>
        <v>20.34520975412298</v>
      </c>
      <c r="CZ7" s="18">
        <f t="shared" si="51"/>
        <v>2.8966848488122107E-3</v>
      </c>
      <c r="DA7" s="18">
        <f t="shared" si="52"/>
        <v>9.3537454283164657E-3</v>
      </c>
      <c r="DB7" s="18">
        <f t="shared" si="53"/>
        <v>0</v>
      </c>
      <c r="DC7" s="18">
        <f t="shared" si="54"/>
        <v>1.2216357199685255E-3</v>
      </c>
      <c r="DD7" s="18">
        <f t="shared" si="55"/>
        <v>0</v>
      </c>
      <c r="DE7" s="18">
        <f t="shared" si="56"/>
        <v>2.3880491173584838E-2</v>
      </c>
      <c r="DF7" s="18">
        <f t="shared" si="57"/>
        <v>2.4001190578022226E-2</v>
      </c>
      <c r="DG7" s="18">
        <f t="shared" si="58"/>
        <v>3.7196078192893126E-2</v>
      </c>
      <c r="DH7" s="18">
        <f t="shared" si="59"/>
        <v>7.9438894721445257E-3</v>
      </c>
      <c r="DI7" s="18">
        <f t="shared" si="60"/>
        <v>0</v>
      </c>
      <c r="DJ7" s="18">
        <f t="shared" si="61"/>
        <v>2.0806650730313439E-4</v>
      </c>
      <c r="DK7" s="18">
        <f t="shared" si="62"/>
        <v>0</v>
      </c>
      <c r="DL7" s="18">
        <f t="shared" si="63"/>
        <v>1.2369217734950716E-4</v>
      </c>
      <c r="DM7" s="18">
        <f t="shared" si="64"/>
        <v>2.4468222349186388E-4</v>
      </c>
      <c r="DN7" s="18">
        <f t="shared" si="65"/>
        <v>4.5982135659428475E-5</v>
      </c>
      <c r="DO7" s="18">
        <f t="shared" si="66"/>
        <v>0</v>
      </c>
      <c r="DP7" s="18">
        <f t="shared" si="67"/>
        <v>5.0860701785210637E-5</v>
      </c>
      <c r="DQ7" s="18">
        <f t="shared" si="68"/>
        <v>4.2655484912508613E-3</v>
      </c>
      <c r="DR7" s="18">
        <f t="shared" si="69"/>
        <v>0</v>
      </c>
      <c r="DS7" s="18">
        <f t="shared" si="70"/>
        <v>0</v>
      </c>
      <c r="DT7" s="18">
        <f t="shared" si="71"/>
        <v>0</v>
      </c>
      <c r="DU7" s="18">
        <f t="shared" si="72"/>
        <v>0</v>
      </c>
      <c r="DV7" s="18">
        <f t="shared" si="73"/>
        <v>1.0146653760693097E-4</v>
      </c>
      <c r="DW7" s="18">
        <f t="shared" si="74"/>
        <v>0</v>
      </c>
      <c r="DX7" s="18">
        <f t="shared" si="75"/>
        <v>2.5892720908834505E-4</v>
      </c>
      <c r="DY7" s="18">
        <f t="shared" si="76"/>
        <v>0</v>
      </c>
      <c r="DZ7" s="18">
        <f t="shared" si="77"/>
        <v>7.3054462564211642E-4</v>
      </c>
      <c r="EA7" s="18">
        <f t="shared" si="78"/>
        <v>0</v>
      </c>
      <c r="EB7" s="18">
        <f t="shared" si="79"/>
        <v>0</v>
      </c>
      <c r="EC7" s="18">
        <f t="shared" si="80"/>
        <v>0</v>
      </c>
      <c r="ED7" s="18">
        <f t="shared" si="81"/>
        <v>1.2874546842037882E-3</v>
      </c>
      <c r="EE7" s="18">
        <f t="shared" si="82"/>
        <v>0</v>
      </c>
      <c r="EF7" s="18">
        <f t="shared" si="83"/>
        <v>2.1962575770886408E-3</v>
      </c>
      <c r="EG7" s="18">
        <f t="shared" si="84"/>
        <v>0</v>
      </c>
      <c r="EH7" s="18">
        <f t="shared" si="85"/>
        <v>2.6632512934801206E-3</v>
      </c>
      <c r="EI7" s="18">
        <f t="shared" si="86"/>
        <v>7.2118647032169323E-4</v>
      </c>
      <c r="EJ7" s="18">
        <f t="shared" si="87"/>
        <v>0</v>
      </c>
      <c r="EK7" s="18">
        <f t="shared" si="88"/>
        <v>3.5113110033686308E-4</v>
      </c>
      <c r="EL7" s="2">
        <f t="shared" si="89"/>
        <v>11.137217625286961</v>
      </c>
      <c r="EM7" s="2">
        <f t="shared" si="90"/>
        <v>0.78741340281706063</v>
      </c>
      <c r="EN7" s="103">
        <f t="shared" si="97"/>
        <v>12.044373795252373</v>
      </c>
      <c r="EO7" s="103">
        <f t="shared" si="93"/>
        <v>20.34520975412298</v>
      </c>
      <c r="EP7" s="113">
        <f t="shared" si="46"/>
        <v>5.7703927492447127E-2</v>
      </c>
      <c r="EQ7" s="17">
        <f t="shared" si="47"/>
        <v>0.94229607250755287</v>
      </c>
      <c r="HH7">
        <f t="shared" si="94"/>
        <v>0.54759691334898863</v>
      </c>
      <c r="HI7" s="36">
        <f t="shared" si="91"/>
        <v>0.64329926024809436</v>
      </c>
      <c r="HJ7">
        <f t="shared" si="95"/>
        <v>3.8686826106559456E-2</v>
      </c>
      <c r="HK7">
        <f t="shared" si="92"/>
        <v>3.9394087434237259E-2</v>
      </c>
      <c r="HM7" s="36">
        <f t="shared" si="96"/>
        <v>0.58628373945554813</v>
      </c>
    </row>
    <row r="8" spans="1:221">
      <c r="A8" s="20">
        <f>'Phase CEMS PM Concentrations'!A8</f>
        <v>44313</v>
      </c>
      <c r="B8" s="20" t="str">
        <f>'Phase CEMS PM Concentrations'!B8</f>
        <v>BK Princess</v>
      </c>
      <c r="C8" s="20" t="str">
        <f>'Phase CEMS PM Concentrations'!C8</f>
        <v>Wet spruce</v>
      </c>
      <c r="D8" s="20" t="str">
        <f>'Phase CEMS PM Concentrations'!D8</f>
        <v>Low</v>
      </c>
      <c r="E8" s="20" t="s">
        <v>440</v>
      </c>
      <c r="F8" s="48">
        <f>IF(ISBLANK('Phase CEMS PM Concentrations'!E8),"",'Phase CEMS PM Concentrations'!E8)</f>
        <v>44313.392361111109</v>
      </c>
      <c r="G8" s="48">
        <f>IF(ISBLANK('Phase CEMS PM Concentrations'!F8),"",'Phase CEMS PM Concentrations'!F8)</f>
        <v>44313.677083333336</v>
      </c>
      <c r="H8" s="9" t="str">
        <f>'[1]XRF Masses'!B34</f>
        <v>TF4721008</v>
      </c>
      <c r="I8" s="64" t="s">
        <v>441</v>
      </c>
      <c r="J8">
        <f>'[1]Teflon Filter Masses'!$R13</f>
        <v>1.4251999999999896</v>
      </c>
      <c r="K8" s="9">
        <f>'[1]XRF Masses'!J34</f>
        <v>0.51749999999999996</v>
      </c>
      <c r="L8" s="9">
        <f>'[1]XRF Masses'!K34</f>
        <v>8.0199999999999994E-2</v>
      </c>
      <c r="M8" s="9">
        <f>'[1]XRF Masses'!L34</f>
        <v>0</v>
      </c>
      <c r="N8" s="9">
        <f>'[1]XRF Masses'!M34</f>
        <v>0</v>
      </c>
      <c r="O8" s="9">
        <f>'[1]XRF Masses'!N34</f>
        <v>3.6200000000000003E-2</v>
      </c>
      <c r="P8" s="9">
        <f>'[1]XRF Masses'!O34</f>
        <v>1.827</v>
      </c>
      <c r="Q8" s="9">
        <f>'[1]XRF Masses'!P34</f>
        <v>1.641</v>
      </c>
      <c r="R8" s="9">
        <f>'[1]XRF Masses'!Q34</f>
        <v>3.1230000000000002</v>
      </c>
      <c r="S8" s="9">
        <f>'[1]XRF Masses'!R34</f>
        <v>1.147</v>
      </c>
      <c r="T8" s="9">
        <f>'[1]XRF Masses'!S34</f>
        <v>6.7999999999999996E-3</v>
      </c>
      <c r="U8" s="9">
        <f>'[1]XRF Masses'!T34</f>
        <v>0</v>
      </c>
      <c r="V8" s="9">
        <f>'[1]XRF Masses'!U34</f>
        <v>1.5800000000000002E-2</v>
      </c>
      <c r="W8" s="9">
        <f>'[1]XRF Masses'!V34</f>
        <v>0</v>
      </c>
      <c r="X8" s="9">
        <f>'[1]XRF Masses'!W34</f>
        <v>1.9199999999999998E-2</v>
      </c>
      <c r="Y8" s="9">
        <f>'[1]XRF Masses'!X34</f>
        <v>0</v>
      </c>
      <c r="Z8" s="9">
        <f>'[1]XRF Masses'!Y34</f>
        <v>0</v>
      </c>
      <c r="AA8" s="9">
        <f>'[1]XRF Masses'!Z34</f>
        <v>0</v>
      </c>
      <c r="AB8" s="9">
        <f>'[1]XRF Masses'!AA34</f>
        <v>0.20569999999999999</v>
      </c>
      <c r="AC8" s="9">
        <f>'[1]XRF Masses'!AB34</f>
        <v>1.1000000000000001E-3</v>
      </c>
      <c r="AD8" s="9">
        <f>'[1]XRF Masses'!AC34</f>
        <v>1.1000000000000001E-3</v>
      </c>
      <c r="AE8" s="9">
        <f>'[1]XRF Masses'!AD34</f>
        <v>1.1000000000000001E-3</v>
      </c>
      <c r="AF8" s="9">
        <f>'[1]XRF Masses'!AE34</f>
        <v>3.3999999999999998E-3</v>
      </c>
      <c r="AG8" s="9">
        <f>'[1]XRF Masses'!AF34</f>
        <v>6.7999999999999996E-3</v>
      </c>
      <c r="AH8" s="9">
        <f>'[1]XRF Masses'!AG34</f>
        <v>1.3599999999999999E-2</v>
      </c>
      <c r="AI8" s="9">
        <f>'[1]XRF Masses'!AH34</f>
        <v>0</v>
      </c>
      <c r="AJ8" s="9">
        <f>'[1]XRF Masses'!AI34</f>
        <v>2.3E-3</v>
      </c>
      <c r="AK8" s="9">
        <f>'[1]XRF Masses'!AJ34</f>
        <v>0</v>
      </c>
      <c r="AL8" s="9">
        <f>'[1]XRF Masses'!AK34</f>
        <v>0</v>
      </c>
      <c r="AM8" s="9">
        <f>'[1]XRF Masses'!AL34</f>
        <v>2.0299999999999999E-2</v>
      </c>
      <c r="AN8" s="9">
        <f>'[1]XRF Masses'!AM34</f>
        <v>0</v>
      </c>
      <c r="AO8" s="9">
        <f>'[1]XRF Masses'!AN34</f>
        <v>7.0099999999999996E-2</v>
      </c>
      <c r="AP8" s="9">
        <f>'[1]XRF Masses'!AO34</f>
        <v>1.47E-2</v>
      </c>
      <c r="AQ8" s="9">
        <f>'[1]XRF Masses'!AP34</f>
        <v>1.3599999999999999E-2</v>
      </c>
      <c r="AR8" s="9">
        <f>'[1]XRF Masses'!AQ34</f>
        <v>1.1299999999999999E-2</v>
      </c>
      <c r="AS8" s="9">
        <f>'[1]XRF Masses'!AR34</f>
        <v>0</v>
      </c>
      <c r="AT8" s="9">
        <f>'[1]XRF Masses'!AS34</f>
        <v>0</v>
      </c>
      <c r="AU8" s="9">
        <f>'[1]XRF Masses'!AT34</f>
        <v>1.3599999999999999E-2</v>
      </c>
      <c r="AV8" s="9">
        <f>'[1]XRF Masses'!AU34</f>
        <v>0</v>
      </c>
      <c r="AW8" s="9">
        <f>'[1]Quartz Filter Masses'!C13</f>
        <v>91.64</v>
      </c>
      <c r="AX8" s="9">
        <f>'[1]Quartz Filter Masses'!D13</f>
        <v>1.82</v>
      </c>
      <c r="AY8">
        <f>'[1]Quartz Back Filter Masses'!C11</f>
        <v>11.04</v>
      </c>
      <c r="AZ8">
        <f>'[1]Quartz Back Filter Masses'!D11</f>
        <v>0.15</v>
      </c>
      <c r="BA8" s="77">
        <f t="shared" si="0"/>
        <v>1.4193999999999676</v>
      </c>
      <c r="BB8" s="77">
        <f t="shared" si="1"/>
        <v>0.82938517293668557</v>
      </c>
      <c r="BC8" s="77">
        <f t="shared" si="2"/>
        <v>1.6524149039351593E-2</v>
      </c>
      <c r="BD8" s="92">
        <f t="shared" si="3"/>
        <v>9.8055389903844603E-2</v>
      </c>
      <c r="BE8" s="93">
        <f t="shared" si="4"/>
        <v>1.361880415331175E-3</v>
      </c>
      <c r="BF8" s="82">
        <v>0.382635</v>
      </c>
      <c r="BG8" s="83">
        <v>0.38274999999999998</v>
      </c>
      <c r="BH8" s="50">
        <f t="shared" si="5"/>
        <v>3.0050236155654015E-4</v>
      </c>
      <c r="BI8" s="30">
        <f t="shared" si="6"/>
        <v>3.7095404236412444</v>
      </c>
      <c r="BJ8" s="102">
        <f t="shared" si="7"/>
        <v>1.3524638362930729E-3</v>
      </c>
      <c r="BK8" s="102">
        <f t="shared" si="8"/>
        <v>2.095992264168202E-4</v>
      </c>
      <c r="BL8" s="102">
        <f t="shared" si="9"/>
        <v>0</v>
      </c>
      <c r="BM8" s="102">
        <f t="shared" si="10"/>
        <v>0</v>
      </c>
      <c r="BN8" s="102">
        <f t="shared" si="11"/>
        <v>9.4607132123302896E-5</v>
      </c>
      <c r="BO8" s="102">
        <f t="shared" si="12"/>
        <v>4.7747853698694573E-3</v>
      </c>
      <c r="BP8" s="102">
        <f t="shared" si="13"/>
        <v>4.2886824258104982E-3</v>
      </c>
      <c r="BQ8" s="102">
        <f t="shared" si="14"/>
        <v>8.1618252381512411E-3</v>
      </c>
      <c r="BR8" s="102">
        <f t="shared" si="15"/>
        <v>2.9976348216969174E-3</v>
      </c>
      <c r="BS8" s="102">
        <f t="shared" si="16"/>
        <v>1.7771505481725402E-5</v>
      </c>
      <c r="BT8" s="102">
        <f t="shared" si="17"/>
        <v>0</v>
      </c>
      <c r="BU8" s="102">
        <f t="shared" si="18"/>
        <v>4.1292615678126676E-5</v>
      </c>
      <c r="BV8" s="102">
        <f t="shared" si="19"/>
        <v>0</v>
      </c>
      <c r="BW8" s="102">
        <f t="shared" si="20"/>
        <v>5.0178368418989374E-5</v>
      </c>
      <c r="BX8" s="102">
        <f t="shared" si="21"/>
        <v>0</v>
      </c>
      <c r="BY8" s="102">
        <f t="shared" si="22"/>
        <v>0</v>
      </c>
      <c r="BZ8" s="102">
        <f t="shared" si="23"/>
        <v>0</v>
      </c>
      <c r="CA8" s="102">
        <f t="shared" si="24"/>
        <v>5.3758804082219348E-4</v>
      </c>
      <c r="CB8" s="102">
        <f t="shared" si="25"/>
        <v>2.8748023573379331E-6</v>
      </c>
      <c r="CC8" s="102">
        <f t="shared" si="26"/>
        <v>2.8748023573379331E-6</v>
      </c>
      <c r="CD8" s="102">
        <f t="shared" si="27"/>
        <v>2.8748023573379331E-6</v>
      </c>
      <c r="CE8" s="102">
        <f t="shared" si="28"/>
        <v>8.8857527408627011E-6</v>
      </c>
      <c r="CF8" s="102">
        <f t="shared" si="29"/>
        <v>1.7771505481725402E-5</v>
      </c>
      <c r="CG8" s="102">
        <f t="shared" si="30"/>
        <v>3.5543010963450805E-5</v>
      </c>
      <c r="CH8" s="102">
        <f t="shared" si="31"/>
        <v>0</v>
      </c>
      <c r="CI8" s="102">
        <f t="shared" si="32"/>
        <v>6.0109503835247689E-6</v>
      </c>
      <c r="CJ8" s="102">
        <f t="shared" si="33"/>
        <v>0</v>
      </c>
      <c r="CK8" s="102">
        <f t="shared" si="34"/>
        <v>0</v>
      </c>
      <c r="CL8" s="102">
        <f t="shared" si="35"/>
        <v>5.3053170776327306E-5</v>
      </c>
      <c r="CM8" s="102">
        <f t="shared" si="36"/>
        <v>0</v>
      </c>
      <c r="CN8" s="102">
        <f t="shared" si="37"/>
        <v>1.8320331386308101E-4</v>
      </c>
      <c r="CO8" s="102">
        <f t="shared" si="38"/>
        <v>3.8417813320788737E-5</v>
      </c>
      <c r="CP8" s="102">
        <f t="shared" si="39"/>
        <v>3.5543010963450805E-5</v>
      </c>
      <c r="CQ8" s="102">
        <f t="shared" si="40"/>
        <v>2.9532060579926036E-5</v>
      </c>
      <c r="CR8" s="102">
        <f t="shared" si="41"/>
        <v>0</v>
      </c>
      <c r="CS8" s="102">
        <f t="shared" si="42"/>
        <v>0</v>
      </c>
      <c r="CT8" s="102">
        <f t="shared" si="43"/>
        <v>3.5543010963450805E-5</v>
      </c>
      <c r="CU8" s="102">
        <f t="shared" si="44"/>
        <v>0</v>
      </c>
      <c r="CV8" s="30">
        <f t="shared" si="48"/>
        <v>1.9106474532427526</v>
      </c>
      <c r="CW8" s="30">
        <f t="shared" si="49"/>
        <v>3.9612957058759439E-2</v>
      </c>
      <c r="CX8" s="30">
        <f t="shared" si="45"/>
        <v>1.950260410301512</v>
      </c>
      <c r="CY8" s="2">
        <f t="shared" si="50"/>
        <v>3.7012220633565023</v>
      </c>
      <c r="CZ8" s="18">
        <f t="shared" si="51"/>
        <v>1.7566884212614109E-4</v>
      </c>
      <c r="DA8" s="18">
        <f t="shared" si="52"/>
        <v>2.095992264168202E-4</v>
      </c>
      <c r="DB8" s="18">
        <f t="shared" si="53"/>
        <v>0</v>
      </c>
      <c r="DC8" s="18">
        <f t="shared" si="54"/>
        <v>0</v>
      </c>
      <c r="DD8" s="18">
        <f t="shared" si="55"/>
        <v>8.2728884164876769E-5</v>
      </c>
      <c r="DE8" s="18">
        <f t="shared" si="56"/>
        <v>4.6721438016463371E-3</v>
      </c>
      <c r="DF8" s="18">
        <f t="shared" si="57"/>
        <v>4.0478130529364173E-3</v>
      </c>
      <c r="DG8" s="18">
        <f t="shared" si="58"/>
        <v>7.8458240143703794E-3</v>
      </c>
      <c r="DH8" s="18">
        <f t="shared" si="59"/>
        <v>2.3738078931145952E-3</v>
      </c>
      <c r="DI8" s="18">
        <f t="shared" si="60"/>
        <v>1.2988448317953526E-5</v>
      </c>
      <c r="DJ8" s="18">
        <f t="shared" si="61"/>
        <v>0</v>
      </c>
      <c r="DK8" s="18">
        <f t="shared" si="62"/>
        <v>0</v>
      </c>
      <c r="DL8" s="18">
        <f t="shared" si="63"/>
        <v>0</v>
      </c>
      <c r="DM8" s="18">
        <f t="shared" si="64"/>
        <v>0</v>
      </c>
      <c r="DN8" s="18">
        <f t="shared" si="65"/>
        <v>0</v>
      </c>
      <c r="DO8" s="18">
        <f t="shared" si="66"/>
        <v>0</v>
      </c>
      <c r="DP8" s="18">
        <f t="shared" si="67"/>
        <v>0</v>
      </c>
      <c r="DQ8" s="18">
        <f t="shared" si="68"/>
        <v>4.6610577984327592E-4</v>
      </c>
      <c r="DR8" s="18">
        <f t="shared" si="69"/>
        <v>0</v>
      </c>
      <c r="DS8" s="18">
        <f t="shared" si="70"/>
        <v>2.8748023573379331E-6</v>
      </c>
      <c r="DT8" s="18">
        <f t="shared" si="71"/>
        <v>0</v>
      </c>
      <c r="DU8" s="18">
        <f t="shared" si="72"/>
        <v>8.8857527408627011E-6</v>
      </c>
      <c r="DV8" s="18">
        <f t="shared" si="73"/>
        <v>1.2892939355943241E-5</v>
      </c>
      <c r="DW8" s="18">
        <f t="shared" si="74"/>
        <v>3.5543010963450805E-5</v>
      </c>
      <c r="DX8" s="18">
        <f t="shared" si="75"/>
        <v>0</v>
      </c>
      <c r="DY8" s="18">
        <f t="shared" si="76"/>
        <v>0</v>
      </c>
      <c r="DZ8" s="18">
        <f t="shared" si="77"/>
        <v>0</v>
      </c>
      <c r="EA8" s="18">
        <f t="shared" si="78"/>
        <v>0</v>
      </c>
      <c r="EB8" s="18">
        <f t="shared" si="79"/>
        <v>5.3053170776327306E-5</v>
      </c>
      <c r="EC8" s="18">
        <f t="shared" si="80"/>
        <v>0</v>
      </c>
      <c r="ED8" s="18">
        <f t="shared" si="81"/>
        <v>1.667745523005602E-4</v>
      </c>
      <c r="EE8" s="18">
        <f t="shared" si="82"/>
        <v>3.8417813320788737E-5</v>
      </c>
      <c r="EF8" s="18">
        <f t="shared" si="83"/>
        <v>3.5543010963450805E-5</v>
      </c>
      <c r="EG8" s="18">
        <f t="shared" si="84"/>
        <v>2.9532060579926036E-5</v>
      </c>
      <c r="EH8" s="18">
        <f t="shared" si="85"/>
        <v>0</v>
      </c>
      <c r="EI8" s="18">
        <f t="shared" si="86"/>
        <v>0</v>
      </c>
      <c r="EJ8" s="18">
        <f t="shared" si="87"/>
        <v>3.5543010963450805E-5</v>
      </c>
      <c r="EK8" s="18">
        <f t="shared" si="88"/>
        <v>0</v>
      </c>
      <c r="EL8" s="2">
        <f t="shared" si="89"/>
        <v>1.9023359073181845</v>
      </c>
      <c r="EM8" s="2">
        <f t="shared" si="90"/>
        <v>3.9612957058759439E-2</v>
      </c>
      <c r="EN8" s="103">
        <f t="shared" si="97"/>
        <v>1.9622546044442026</v>
      </c>
      <c r="EO8" s="103">
        <f t="shared" si="93"/>
        <v>3.7012220633565023</v>
      </c>
      <c r="EP8" s="113">
        <f t="shared" si="46"/>
        <v>1.9534184823441027E-2</v>
      </c>
      <c r="EQ8" s="17">
        <f t="shared" si="47"/>
        <v>0.98046581517655895</v>
      </c>
      <c r="HH8">
        <f t="shared" si="94"/>
        <v>0.51506311700123808</v>
      </c>
      <c r="HI8" s="36">
        <f t="shared" si="91"/>
        <v>0.58432096162935365</v>
      </c>
      <c r="HJ8">
        <f t="shared" si="95"/>
        <v>1.0678669736634328E-2</v>
      </c>
      <c r="HK8">
        <f t="shared" si="92"/>
        <v>1.1641643679971798E-2</v>
      </c>
      <c r="HM8" s="36">
        <f t="shared" si="96"/>
        <v>0.52574178673787242</v>
      </c>
    </row>
    <row r="9" spans="1:221">
      <c r="A9" s="20">
        <f>'Phase CEMS PM Concentrations'!A9</f>
        <v>44314</v>
      </c>
      <c r="B9" s="20" t="str">
        <f>'Phase CEMS PM Concentrations'!B9</f>
        <v>BK Princess</v>
      </c>
      <c r="C9" s="20" t="str">
        <f>'Phase CEMS PM Concentrations'!C9</f>
        <v>Wet spruce</v>
      </c>
      <c r="D9" s="20" t="str">
        <f>'Phase CEMS PM Concentrations'!D9</f>
        <v>Startup</v>
      </c>
      <c r="E9" s="20" t="s">
        <v>442</v>
      </c>
      <c r="F9" s="48">
        <f>IF(ISBLANK('Phase CEMS PM Concentrations'!E9),"",'Phase CEMS PM Concentrations'!E9)</f>
        <v>44314.347222222219</v>
      </c>
      <c r="G9" s="48">
        <f>IF(ISBLANK('Phase CEMS PM Concentrations'!F9),"",'Phase CEMS PM Concentrations'!F9)</f>
        <v>44314.372916666667</v>
      </c>
      <c r="H9" s="9" t="str">
        <f>'[1]XRF Masses'!B35</f>
        <v>TF4721010</v>
      </c>
      <c r="I9" s="64" t="s">
        <v>443</v>
      </c>
      <c r="J9">
        <f>'[1]Teflon Filter Masses'!$R14</f>
        <v>1.0712999999999795</v>
      </c>
      <c r="K9" s="9">
        <f>'[1]XRF Masses'!J35</f>
        <v>0</v>
      </c>
      <c r="L9" s="9">
        <f>'[1]XRF Masses'!K35</f>
        <v>0</v>
      </c>
      <c r="M9" s="9">
        <f>'[1]XRF Masses'!L35</f>
        <v>0</v>
      </c>
      <c r="N9" s="9">
        <f>'[1]XRF Masses'!M35</f>
        <v>7.0099999999999996E-2</v>
      </c>
      <c r="O9" s="9">
        <f>'[1]XRF Masses'!N35</f>
        <v>0</v>
      </c>
      <c r="P9" s="9">
        <f>'[1]XRF Masses'!O35</f>
        <v>0.96950000000000003</v>
      </c>
      <c r="Q9" s="9">
        <f>'[1]XRF Masses'!P35</f>
        <v>1.3</v>
      </c>
      <c r="R9" s="9">
        <f>'[1]XRF Masses'!Q35</f>
        <v>0.88590000000000002</v>
      </c>
      <c r="S9" s="9">
        <f>'[1]XRF Masses'!R35</f>
        <v>0.1797</v>
      </c>
      <c r="T9" s="9">
        <f>'[1]XRF Masses'!S35</f>
        <v>2.7099999999999999E-2</v>
      </c>
      <c r="U9" s="9">
        <f>'[1]XRF Masses'!T35</f>
        <v>0</v>
      </c>
      <c r="V9" s="9">
        <f>'[1]XRF Masses'!U35</f>
        <v>0</v>
      </c>
      <c r="W9" s="9">
        <f>'[1]XRF Masses'!V35</f>
        <v>4.4999999999999997E-3</v>
      </c>
      <c r="X9" s="9">
        <f>'[1]XRF Masses'!W35</f>
        <v>2.0299999999999999E-2</v>
      </c>
      <c r="Y9" s="9">
        <f>'[1]XRF Masses'!X35</f>
        <v>0</v>
      </c>
      <c r="Z9" s="9">
        <f>'[1]XRF Masses'!Y35</f>
        <v>0</v>
      </c>
      <c r="AA9" s="9">
        <f>'[1]XRF Masses'!Z35</f>
        <v>4.4999999999999997E-3</v>
      </c>
      <c r="AB9" s="9">
        <f>'[1]XRF Masses'!AA35</f>
        <v>0.25650000000000001</v>
      </c>
      <c r="AC9" s="9">
        <f>'[1]XRF Masses'!AB35</f>
        <v>2.3E-3</v>
      </c>
      <c r="AD9" s="9">
        <f>'[1]XRF Masses'!AC35</f>
        <v>0</v>
      </c>
      <c r="AE9" s="9">
        <f>'[1]XRF Masses'!AD35</f>
        <v>0</v>
      </c>
      <c r="AF9" s="9">
        <f>'[1]XRF Masses'!AE35</f>
        <v>7.9000000000000008E-3</v>
      </c>
      <c r="AG9" s="9">
        <f>'[1]XRF Masses'!AF35</f>
        <v>0</v>
      </c>
      <c r="AH9" s="9">
        <f>'[1]XRF Masses'!AG35</f>
        <v>0</v>
      </c>
      <c r="AI9" s="9">
        <f>'[1]XRF Masses'!AH35</f>
        <v>0</v>
      </c>
      <c r="AJ9" s="9">
        <f>'[1]XRF Masses'!AI35</f>
        <v>7.9000000000000008E-3</v>
      </c>
      <c r="AK9" s="9">
        <f>'[1]XRF Masses'!AJ35</f>
        <v>0</v>
      </c>
      <c r="AL9" s="9">
        <f>'[1]XRF Masses'!AK35</f>
        <v>0</v>
      </c>
      <c r="AM9" s="9">
        <f>'[1]XRF Masses'!AL35</f>
        <v>4.4999999999999997E-3</v>
      </c>
      <c r="AN9" s="9">
        <f>'[1]XRF Masses'!AM35</f>
        <v>0</v>
      </c>
      <c r="AO9" s="9">
        <f>'[1]XRF Masses'!AN35</f>
        <v>2.0299999999999999E-2</v>
      </c>
      <c r="AP9" s="9">
        <f>'[1]XRF Masses'!AO35</f>
        <v>0</v>
      </c>
      <c r="AQ9" s="9">
        <f>'[1]XRF Masses'!AP35</f>
        <v>0</v>
      </c>
      <c r="AR9" s="9">
        <f>'[1]XRF Masses'!AQ35</f>
        <v>0</v>
      </c>
      <c r="AS9" s="9">
        <f>'[1]XRF Masses'!AR35</f>
        <v>0</v>
      </c>
      <c r="AT9" s="9">
        <f>'[1]XRF Masses'!AS35</f>
        <v>4.6300000000000001E-2</v>
      </c>
      <c r="AU9" s="9">
        <f>'[1]XRF Masses'!AT35</f>
        <v>0</v>
      </c>
      <c r="AV9" s="9">
        <f>'[1]XRF Masses'!AU35</f>
        <v>1.8100000000000002E-2</v>
      </c>
      <c r="AW9" s="9">
        <f>'[1]Quartz Filter Masses'!C14</f>
        <v>70.13</v>
      </c>
      <c r="AX9" s="9">
        <f>'[1]Quartz Filter Masses'!D14</f>
        <v>3.11</v>
      </c>
      <c r="AY9">
        <f>'[1]Quartz Back Filter Masses'!C12</f>
        <v>6.25</v>
      </c>
      <c r="AZ9">
        <f>'[1]Quartz Back Filter Masses'!D12</f>
        <v>0.09</v>
      </c>
      <c r="BA9" s="77">
        <f t="shared" si="0"/>
        <v>1.0654999999999575</v>
      </c>
      <c r="BB9" s="77">
        <f t="shared" si="1"/>
        <v>0.63409152137819502</v>
      </c>
      <c r="BC9" s="77">
        <f t="shared" si="2"/>
        <v>2.8236320611199694E-2</v>
      </c>
      <c r="BD9" s="92">
        <f t="shared" si="3"/>
        <v>5.4566008640935748E-2</v>
      </c>
      <c r="BE9" s="93">
        <f t="shared" si="4"/>
        <v>8.1712824919870494E-4</v>
      </c>
      <c r="BF9" s="82">
        <v>3.5253699999999999E-2</v>
      </c>
      <c r="BG9" s="83">
        <v>3.4425799999999999E-2</v>
      </c>
      <c r="BH9" s="50">
        <f t="shared" si="5"/>
        <v>2.3763086704123866E-2</v>
      </c>
      <c r="BI9" s="30">
        <f t="shared" si="6"/>
        <v>30.223777929691281</v>
      </c>
      <c r="BJ9" s="102">
        <f t="shared" si="7"/>
        <v>0</v>
      </c>
      <c r="BK9" s="102">
        <f t="shared" si="8"/>
        <v>0</v>
      </c>
      <c r="BL9" s="102">
        <f t="shared" si="9"/>
        <v>0</v>
      </c>
      <c r="BM9" s="102">
        <f t="shared" si="10"/>
        <v>1.9884437661862441E-3</v>
      </c>
      <c r="BN9" s="102">
        <f t="shared" si="11"/>
        <v>0</v>
      </c>
      <c r="BO9" s="102">
        <f t="shared" si="12"/>
        <v>2.7500659505243424E-2</v>
      </c>
      <c r="BP9" s="102">
        <f t="shared" si="13"/>
        <v>3.6875561997747761E-2</v>
      </c>
      <c r="BQ9" s="102">
        <f t="shared" si="14"/>
        <v>2.5129277210619031E-2</v>
      </c>
      <c r="BR9" s="102">
        <f t="shared" si="15"/>
        <v>5.0973373007655934E-3</v>
      </c>
      <c r="BS9" s="102">
        <f t="shared" si="16"/>
        <v>7.6871363856843399E-4</v>
      </c>
      <c r="BT9" s="102">
        <f t="shared" si="17"/>
        <v>0</v>
      </c>
      <c r="BU9" s="102">
        <f t="shared" si="18"/>
        <v>0</v>
      </c>
      <c r="BV9" s="102">
        <f t="shared" si="19"/>
        <v>1.2764617614604993E-4</v>
      </c>
      <c r="BW9" s="102">
        <f t="shared" si="20"/>
        <v>5.7582608350329183E-4</v>
      </c>
      <c r="BX9" s="102">
        <f t="shared" si="21"/>
        <v>0</v>
      </c>
      <c r="BY9" s="102">
        <f t="shared" si="22"/>
        <v>0</v>
      </c>
      <c r="BZ9" s="102">
        <f t="shared" si="23"/>
        <v>1.2764617614604993E-4</v>
      </c>
      <c r="CA9" s="102">
        <f t="shared" si="24"/>
        <v>7.2758320403248462E-3</v>
      </c>
      <c r="CB9" s="102">
        <f t="shared" si="25"/>
        <v>6.5241378919092183E-5</v>
      </c>
      <c r="CC9" s="102">
        <f t="shared" si="26"/>
        <v>0</v>
      </c>
      <c r="CD9" s="102">
        <f t="shared" si="27"/>
        <v>0</v>
      </c>
      <c r="CE9" s="102">
        <f t="shared" si="28"/>
        <v>2.2408995367862101E-4</v>
      </c>
      <c r="CF9" s="102">
        <f t="shared" si="29"/>
        <v>0</v>
      </c>
      <c r="CG9" s="102">
        <f t="shared" si="30"/>
        <v>0</v>
      </c>
      <c r="CH9" s="102">
        <f t="shared" si="31"/>
        <v>0</v>
      </c>
      <c r="CI9" s="102">
        <f t="shared" si="32"/>
        <v>2.2408995367862101E-4</v>
      </c>
      <c r="CJ9" s="102">
        <f t="shared" si="33"/>
        <v>0</v>
      </c>
      <c r="CK9" s="102">
        <f t="shared" si="34"/>
        <v>0</v>
      </c>
      <c r="CL9" s="102">
        <f t="shared" si="35"/>
        <v>1.2764617614604993E-4</v>
      </c>
      <c r="CM9" s="102">
        <f t="shared" si="36"/>
        <v>0</v>
      </c>
      <c r="CN9" s="102">
        <f t="shared" si="37"/>
        <v>5.7582608350329183E-4</v>
      </c>
      <c r="CO9" s="102">
        <f t="shared" si="38"/>
        <v>0</v>
      </c>
      <c r="CP9" s="102">
        <f t="shared" si="39"/>
        <v>0</v>
      </c>
      <c r="CQ9" s="102">
        <f t="shared" si="40"/>
        <v>0</v>
      </c>
      <c r="CR9" s="102">
        <f t="shared" si="41"/>
        <v>0</v>
      </c>
      <c r="CS9" s="102">
        <f t="shared" si="42"/>
        <v>1.3133373234582471E-3</v>
      </c>
      <c r="CT9" s="102">
        <f t="shared" si="43"/>
        <v>0</v>
      </c>
      <c r="CU9" s="102">
        <f t="shared" si="44"/>
        <v>5.1342128627633425E-4</v>
      </c>
      <c r="CV9" s="30">
        <f t="shared" si="48"/>
        <v>16.87126934301665</v>
      </c>
      <c r="CW9" s="30">
        <f t="shared" si="49"/>
        <v>0.7970296071752373</v>
      </c>
      <c r="CX9" s="30">
        <f t="shared" si="45"/>
        <v>17.668298950191886</v>
      </c>
      <c r="CY9" s="2">
        <f t="shared" si="50"/>
        <v>30.215459569406537</v>
      </c>
      <c r="CZ9" s="18">
        <f t="shared" si="51"/>
        <v>0</v>
      </c>
      <c r="DA9" s="18">
        <f t="shared" si="52"/>
        <v>0</v>
      </c>
      <c r="DB9" s="18">
        <f t="shared" si="53"/>
        <v>0</v>
      </c>
      <c r="DC9" s="18">
        <f t="shared" si="54"/>
        <v>1.7489902348705368E-3</v>
      </c>
      <c r="DD9" s="18">
        <f t="shared" si="55"/>
        <v>0</v>
      </c>
      <c r="DE9" s="18">
        <f t="shared" si="56"/>
        <v>2.7398017937020302E-2</v>
      </c>
      <c r="DF9" s="18">
        <f t="shared" si="57"/>
        <v>3.6634692624873677E-2</v>
      </c>
      <c r="DG9" s="18">
        <f t="shared" si="58"/>
        <v>2.4813275986838169E-2</v>
      </c>
      <c r="DH9" s="18">
        <f t="shared" si="59"/>
        <v>4.4735103721832712E-3</v>
      </c>
      <c r="DI9" s="18">
        <f t="shared" si="60"/>
        <v>7.6393058140466217E-4</v>
      </c>
      <c r="DJ9" s="18">
        <f t="shared" si="61"/>
        <v>0</v>
      </c>
      <c r="DK9" s="18">
        <f t="shared" si="62"/>
        <v>0</v>
      </c>
      <c r="DL9" s="18">
        <f t="shared" si="63"/>
        <v>9.4132547977633334E-5</v>
      </c>
      <c r="DM9" s="18">
        <f t="shared" si="64"/>
        <v>2.9803018865617382E-4</v>
      </c>
      <c r="DN9" s="18">
        <f t="shared" si="65"/>
        <v>0</v>
      </c>
      <c r="DO9" s="18">
        <f t="shared" si="66"/>
        <v>0</v>
      </c>
      <c r="DP9" s="18">
        <f t="shared" si="67"/>
        <v>1.2764617614604993E-4</v>
      </c>
      <c r="DQ9" s="18">
        <f t="shared" si="68"/>
        <v>7.2043497793459286E-3</v>
      </c>
      <c r="DR9" s="18">
        <f t="shared" si="69"/>
        <v>3.9126409514460649E-5</v>
      </c>
      <c r="DS9" s="18">
        <f t="shared" si="70"/>
        <v>0</v>
      </c>
      <c r="DT9" s="18">
        <f t="shared" si="71"/>
        <v>0</v>
      </c>
      <c r="DU9" s="18">
        <f t="shared" si="72"/>
        <v>2.2408995367862101E-4</v>
      </c>
      <c r="DV9" s="18">
        <f t="shared" si="73"/>
        <v>0</v>
      </c>
      <c r="DW9" s="18">
        <f t="shared" si="74"/>
        <v>0</v>
      </c>
      <c r="DX9" s="18">
        <f t="shared" si="75"/>
        <v>0</v>
      </c>
      <c r="DY9" s="18">
        <f t="shared" si="76"/>
        <v>2.0994874119442588E-4</v>
      </c>
      <c r="DZ9" s="18">
        <f t="shared" si="77"/>
        <v>0</v>
      </c>
      <c r="EA9" s="18">
        <f t="shared" si="78"/>
        <v>0</v>
      </c>
      <c r="EB9" s="18">
        <f t="shared" si="79"/>
        <v>1.2764617614604993E-4</v>
      </c>
      <c r="EC9" s="18">
        <f t="shared" si="80"/>
        <v>0</v>
      </c>
      <c r="ED9" s="18">
        <f t="shared" si="81"/>
        <v>5.5939732194077102E-4</v>
      </c>
      <c r="EE9" s="18">
        <f t="shared" si="82"/>
        <v>0</v>
      </c>
      <c r="EF9" s="18">
        <f t="shared" si="83"/>
        <v>0</v>
      </c>
      <c r="EG9" s="18">
        <f t="shared" si="84"/>
        <v>0</v>
      </c>
      <c r="EH9" s="18">
        <f t="shared" si="85"/>
        <v>0</v>
      </c>
      <c r="EI9" s="18">
        <f t="shared" si="86"/>
        <v>1.3039791681378238E-3</v>
      </c>
      <c r="EJ9" s="18">
        <f t="shared" si="87"/>
        <v>0</v>
      </c>
      <c r="EK9" s="18">
        <f t="shared" si="88"/>
        <v>4.9928007379213912E-4</v>
      </c>
      <c r="EL9" s="2">
        <f t="shared" si="89"/>
        <v>16.862957797092083</v>
      </c>
      <c r="EM9" s="2">
        <f t="shared" si="90"/>
        <v>0.7970296071752373</v>
      </c>
      <c r="EN9" s="103">
        <f t="shared" si="97"/>
        <v>17.766507448541041</v>
      </c>
      <c r="EO9" s="103">
        <f t="shared" si="93"/>
        <v>30.215459569406537</v>
      </c>
      <c r="EP9" s="113">
        <f t="shared" si="46"/>
        <v>4.2631939684715556E-2</v>
      </c>
      <c r="EQ9" s="17">
        <f t="shared" si="47"/>
        <v>0.95736806031528432</v>
      </c>
      <c r="HH9">
        <f t="shared" si="94"/>
        <v>0.5582117954368182</v>
      </c>
      <c r="HI9" s="36">
        <f t="shared" si="91"/>
        <v>0.59511170471911812</v>
      </c>
      <c r="HJ9">
        <f t="shared" si="95"/>
        <v>2.6370945717949117E-2</v>
      </c>
      <c r="HK9">
        <f t="shared" si="92"/>
        <v>2.6500535533740797E-2</v>
      </c>
      <c r="HM9" s="36">
        <f t="shared" si="96"/>
        <v>0.58458274115476727</v>
      </c>
    </row>
    <row r="10" spans="1:221">
      <c r="A10" s="20">
        <f>'Phase CEMS PM Concentrations'!A10</f>
        <v>44314</v>
      </c>
      <c r="B10" s="20" t="str">
        <f>'Phase CEMS PM Concentrations'!B10</f>
        <v>BK Princess</v>
      </c>
      <c r="C10" s="20" t="str">
        <f>'Phase CEMS PM Concentrations'!C10</f>
        <v>Wet spruce</v>
      </c>
      <c r="D10" s="20" t="str">
        <f>'Phase CEMS PM Concentrations'!D10</f>
        <v>Low</v>
      </c>
      <c r="E10" s="20" t="s">
        <v>444</v>
      </c>
      <c r="F10" s="48">
        <f>IF(ISBLANK('Phase CEMS PM Concentrations'!E10),"",'Phase CEMS PM Concentrations'!E10)</f>
        <v>44314.374305555553</v>
      </c>
      <c r="G10" s="48">
        <f>IF(ISBLANK('Phase CEMS PM Concentrations'!F10),"",'Phase CEMS PM Concentrations'!F10)</f>
        <v>44314.656944444447</v>
      </c>
      <c r="H10" s="9" t="str">
        <f>'[1]XRF Masses'!B36</f>
        <v>TF4721011</v>
      </c>
      <c r="I10" s="64" t="s">
        <v>445</v>
      </c>
      <c r="J10">
        <f>'[1]Teflon Filter Masses'!$R15</f>
        <v>0.74090000000001055</v>
      </c>
      <c r="K10" s="9">
        <f>'[1]XRF Masses'!J36</f>
        <v>0</v>
      </c>
      <c r="L10" s="9">
        <f>'[1]XRF Masses'!K36</f>
        <v>0</v>
      </c>
      <c r="M10" s="9">
        <f>'[1]XRF Masses'!L36</f>
        <v>0</v>
      </c>
      <c r="N10" s="9">
        <f>'[1]XRF Masses'!M36</f>
        <v>1.5800000000000002E-2</v>
      </c>
      <c r="O10" s="9">
        <f>'[1]XRF Masses'!N36</f>
        <v>1.9199999999999998E-2</v>
      </c>
      <c r="P10" s="9">
        <f>'[1]XRF Masses'!O36</f>
        <v>1.425</v>
      </c>
      <c r="Q10" s="9">
        <f>'[1]XRF Masses'!P36</f>
        <v>2.4660000000000002</v>
      </c>
      <c r="R10" s="9">
        <f>'[1]XRF Masses'!Q36</f>
        <v>4.1669999999999998</v>
      </c>
      <c r="S10" s="9">
        <f>'[1]XRF Masses'!R36</f>
        <v>0.48480000000000001</v>
      </c>
      <c r="T10" s="9">
        <f>'[1]XRF Masses'!S36</f>
        <v>0</v>
      </c>
      <c r="U10" s="9">
        <f>'[1]XRF Masses'!T36</f>
        <v>0</v>
      </c>
      <c r="V10" s="9">
        <f>'[1]XRF Masses'!U36</f>
        <v>2.5999999999999999E-2</v>
      </c>
      <c r="W10" s="9">
        <f>'[1]XRF Masses'!V36</f>
        <v>1.7000000000000001E-2</v>
      </c>
      <c r="X10" s="9">
        <f>'[1]XRF Masses'!W36</f>
        <v>5.5999999999999999E-3</v>
      </c>
      <c r="Y10" s="9">
        <f>'[1]XRF Masses'!X36</f>
        <v>0</v>
      </c>
      <c r="Z10" s="9">
        <f>'[1]XRF Masses'!Y36</f>
        <v>0</v>
      </c>
      <c r="AA10" s="9">
        <f>'[1]XRF Masses'!Z36</f>
        <v>5.5999999999999999E-3</v>
      </c>
      <c r="AB10" s="9">
        <f>'[1]XRF Masses'!AA36</f>
        <v>0.32540000000000002</v>
      </c>
      <c r="AC10" s="9">
        <f>'[1]XRF Masses'!AB36</f>
        <v>6.7999999999999996E-3</v>
      </c>
      <c r="AD10" s="9">
        <f>'[1]XRF Masses'!AC36</f>
        <v>0</v>
      </c>
      <c r="AE10" s="9">
        <f>'[1]XRF Masses'!AD36</f>
        <v>0</v>
      </c>
      <c r="AF10" s="9">
        <f>'[1]XRF Masses'!AE36</f>
        <v>0</v>
      </c>
      <c r="AG10" s="9">
        <f>'[1]XRF Masses'!AF36</f>
        <v>1.7000000000000001E-2</v>
      </c>
      <c r="AH10" s="9">
        <f>'[1]XRF Masses'!AG36</f>
        <v>2.2599999999999999E-2</v>
      </c>
      <c r="AI10" s="9">
        <f>'[1]XRF Masses'!AH36</f>
        <v>4.4999999999999997E-3</v>
      </c>
      <c r="AJ10" s="9">
        <f>'[1]XRF Masses'!AI36</f>
        <v>0</v>
      </c>
      <c r="AK10" s="9">
        <f>'[1]XRF Masses'!AJ36</f>
        <v>0</v>
      </c>
      <c r="AL10" s="9">
        <f>'[1]XRF Masses'!AK36</f>
        <v>0</v>
      </c>
      <c r="AM10" s="9">
        <f>'[1]XRF Masses'!AL36</f>
        <v>0</v>
      </c>
      <c r="AN10" s="9">
        <f>'[1]XRF Masses'!AM36</f>
        <v>0</v>
      </c>
      <c r="AO10" s="9">
        <f>'[1]XRF Masses'!AN36</f>
        <v>2.8199999999999999E-2</v>
      </c>
      <c r="AP10" s="9">
        <f>'[1]XRF Masses'!AO36</f>
        <v>8.2500000000000004E-2</v>
      </c>
      <c r="AQ10" s="9">
        <f>'[1]XRF Masses'!AP36</f>
        <v>0</v>
      </c>
      <c r="AR10" s="9">
        <f>'[1]XRF Masses'!AQ36</f>
        <v>0</v>
      </c>
      <c r="AS10" s="9">
        <f>'[1]XRF Masses'!AR36</f>
        <v>3.1600000000000003E-2</v>
      </c>
      <c r="AT10" s="9">
        <f>'[1]XRF Masses'!AS36</f>
        <v>0</v>
      </c>
      <c r="AU10" s="9">
        <f>'[1]XRF Masses'!AT36</f>
        <v>0</v>
      </c>
      <c r="AV10" s="9">
        <f>'[1]XRF Masses'!AU36</f>
        <v>4.4999999999999997E-3</v>
      </c>
      <c r="AW10" s="9">
        <f>'[1]Quartz Filter Masses'!C15</f>
        <v>46.86</v>
      </c>
      <c r="AX10" s="9">
        <f>'[1]Quartz Filter Masses'!D15</f>
        <v>1.96</v>
      </c>
      <c r="AY10">
        <f>'[1]Quartz Back Filter Masses'!C13</f>
        <v>8.58</v>
      </c>
      <c r="AZ10">
        <f>'[1]Quartz Back Filter Masses'!D13</f>
        <v>0</v>
      </c>
      <c r="BA10" s="77">
        <f t="shared" si="0"/>
        <v>0.73509999999998854</v>
      </c>
      <c r="BB10" s="77">
        <f t="shared" si="1"/>
        <v>0.4228184729464855</v>
      </c>
      <c r="BC10" s="77">
        <f t="shared" si="2"/>
        <v>1.7795237426994022E-2</v>
      </c>
      <c r="BD10" s="92">
        <f t="shared" si="3"/>
        <v>7.5720551092413324E-2</v>
      </c>
      <c r="BE10" s="93">
        <f t="shared" si="4"/>
        <v>0</v>
      </c>
      <c r="BF10" s="82">
        <v>0.38661400000000001</v>
      </c>
      <c r="BG10" s="83">
        <v>0.37774200000000002</v>
      </c>
      <c r="BH10" s="50">
        <f t="shared" si="5"/>
        <v>2.3214313749090713E-2</v>
      </c>
      <c r="BI10" s="30">
        <f t="shared" si="6"/>
        <v>1.9013796706792525</v>
      </c>
      <c r="BJ10" s="102">
        <f t="shared" si="7"/>
        <v>0</v>
      </c>
      <c r="BK10" s="102">
        <f t="shared" si="8"/>
        <v>0</v>
      </c>
      <c r="BL10" s="102">
        <f t="shared" si="9"/>
        <v>0</v>
      </c>
      <c r="BM10" s="102">
        <f t="shared" si="10"/>
        <v>4.0867635419307117E-5</v>
      </c>
      <c r="BN10" s="102">
        <f t="shared" si="11"/>
        <v>4.9661936712069392E-5</v>
      </c>
      <c r="BO10" s="102">
        <f t="shared" si="12"/>
        <v>3.685846865348901E-3</v>
      </c>
      <c r="BP10" s="102">
        <f t="shared" si="13"/>
        <v>6.3784549964564143E-3</v>
      </c>
      <c r="BQ10" s="102">
        <f t="shared" si="14"/>
        <v>1.0778192202041313E-2</v>
      </c>
      <c r="BR10" s="102">
        <f t="shared" si="15"/>
        <v>1.2539639019797525E-3</v>
      </c>
      <c r="BS10" s="102">
        <f t="shared" si="16"/>
        <v>0</v>
      </c>
      <c r="BT10" s="102">
        <f t="shared" si="17"/>
        <v>0</v>
      </c>
      <c r="BU10" s="102">
        <f t="shared" si="18"/>
        <v>6.7250539297593977E-5</v>
      </c>
      <c r="BV10" s="102">
        <f t="shared" si="19"/>
        <v>4.3971506463811458E-5</v>
      </c>
      <c r="BW10" s="102">
        <f t="shared" si="20"/>
        <v>1.4484731541020242E-5</v>
      </c>
      <c r="BX10" s="102">
        <f t="shared" si="21"/>
        <v>0</v>
      </c>
      <c r="BY10" s="102">
        <f t="shared" si="22"/>
        <v>0</v>
      </c>
      <c r="BZ10" s="102">
        <f t="shared" si="23"/>
        <v>1.4484731541020242E-5</v>
      </c>
      <c r="CA10" s="102">
        <f t="shared" si="24"/>
        <v>8.4166636490142616E-4</v>
      </c>
      <c r="CB10" s="102">
        <f t="shared" si="25"/>
        <v>1.7588602585524578E-5</v>
      </c>
      <c r="CC10" s="102">
        <f t="shared" si="26"/>
        <v>0</v>
      </c>
      <c r="CD10" s="102">
        <f t="shared" si="27"/>
        <v>0</v>
      </c>
      <c r="CE10" s="102">
        <f t="shared" si="28"/>
        <v>0</v>
      </c>
      <c r="CF10" s="102">
        <f t="shared" si="29"/>
        <v>4.3971506463811458E-5</v>
      </c>
      <c r="CG10" s="102">
        <f t="shared" si="30"/>
        <v>5.8456238004831681E-5</v>
      </c>
      <c r="CH10" s="102">
        <f t="shared" si="31"/>
        <v>1.1639516416891265E-5</v>
      </c>
      <c r="CI10" s="102">
        <f t="shared" si="32"/>
        <v>0</v>
      </c>
      <c r="CJ10" s="102">
        <f t="shared" si="33"/>
        <v>0</v>
      </c>
      <c r="CK10" s="102">
        <f t="shared" si="34"/>
        <v>0</v>
      </c>
      <c r="CL10" s="102">
        <f t="shared" si="35"/>
        <v>0</v>
      </c>
      <c r="CM10" s="102">
        <f t="shared" si="36"/>
        <v>0</v>
      </c>
      <c r="CN10" s="102">
        <f t="shared" si="37"/>
        <v>7.2940969545851931E-5</v>
      </c>
      <c r="CO10" s="102">
        <f t="shared" si="38"/>
        <v>2.1339113430967322E-4</v>
      </c>
      <c r="CP10" s="102">
        <f t="shared" si="39"/>
        <v>0</v>
      </c>
      <c r="CQ10" s="102">
        <f t="shared" si="40"/>
        <v>0</v>
      </c>
      <c r="CR10" s="102">
        <f t="shared" si="41"/>
        <v>8.1735270838614234E-5</v>
      </c>
      <c r="CS10" s="102">
        <f t="shared" si="42"/>
        <v>0</v>
      </c>
      <c r="CT10" s="102">
        <f t="shared" si="43"/>
        <v>0</v>
      </c>
      <c r="CU10" s="102">
        <f t="shared" si="44"/>
        <v>1.1639516416891265E-5</v>
      </c>
      <c r="CV10" s="30">
        <f t="shared" si="48"/>
        <v>0.92347568848853667</v>
      </c>
      <c r="CW10" s="30">
        <f t="shared" si="49"/>
        <v>4.7109501794860037E-2</v>
      </c>
      <c r="CX10" s="30">
        <f t="shared" si="45"/>
        <v>0.97058519028339674</v>
      </c>
      <c r="CY10" s="2">
        <f t="shared" si="50"/>
        <v>1.8930613103945104</v>
      </c>
      <c r="CZ10" s="18">
        <f t="shared" si="51"/>
        <v>0</v>
      </c>
      <c r="DA10" s="18">
        <f t="shared" si="52"/>
        <v>0</v>
      </c>
      <c r="DB10" s="18">
        <f t="shared" si="53"/>
        <v>0</v>
      </c>
      <c r="DC10" s="18">
        <f t="shared" si="54"/>
        <v>0</v>
      </c>
      <c r="DD10" s="18">
        <f t="shared" si="55"/>
        <v>3.7783688753643258E-5</v>
      </c>
      <c r="DE10" s="18">
        <f t="shared" si="56"/>
        <v>3.5832052971257805E-3</v>
      </c>
      <c r="DF10" s="18">
        <f t="shared" si="57"/>
        <v>6.1375856235823334E-3</v>
      </c>
      <c r="DG10" s="18">
        <f t="shared" si="58"/>
        <v>1.0462190978260451E-2</v>
      </c>
      <c r="DH10" s="18">
        <f t="shared" si="59"/>
        <v>6.3013697339743037E-4</v>
      </c>
      <c r="DI10" s="18">
        <f t="shared" si="60"/>
        <v>0</v>
      </c>
      <c r="DJ10" s="18">
        <f t="shared" si="61"/>
        <v>0</v>
      </c>
      <c r="DK10" s="18">
        <f t="shared" si="62"/>
        <v>0</v>
      </c>
      <c r="DL10" s="18">
        <f t="shared" si="63"/>
        <v>1.0457878295394866E-5</v>
      </c>
      <c r="DM10" s="18">
        <f t="shared" si="64"/>
        <v>0</v>
      </c>
      <c r="DN10" s="18">
        <f t="shared" si="65"/>
        <v>0</v>
      </c>
      <c r="DO10" s="18">
        <f t="shared" si="66"/>
        <v>0</v>
      </c>
      <c r="DP10" s="18">
        <f t="shared" si="67"/>
        <v>1.4484731541020242E-5</v>
      </c>
      <c r="DQ10" s="18">
        <f t="shared" si="68"/>
        <v>7.7018410392250855E-4</v>
      </c>
      <c r="DR10" s="18">
        <f t="shared" si="69"/>
        <v>0</v>
      </c>
      <c r="DS10" s="18">
        <f t="shared" si="70"/>
        <v>0</v>
      </c>
      <c r="DT10" s="18">
        <f t="shared" si="71"/>
        <v>0</v>
      </c>
      <c r="DU10" s="18">
        <f t="shared" si="72"/>
        <v>0</v>
      </c>
      <c r="DV10" s="18">
        <f t="shared" si="73"/>
        <v>3.9092940338029296E-5</v>
      </c>
      <c r="DW10" s="18">
        <f t="shared" si="74"/>
        <v>5.8456238004831681E-5</v>
      </c>
      <c r="DX10" s="18">
        <f t="shared" si="75"/>
        <v>1.1639516416891265E-5</v>
      </c>
      <c r="DY10" s="18">
        <f t="shared" si="76"/>
        <v>0</v>
      </c>
      <c r="DZ10" s="18">
        <f t="shared" si="77"/>
        <v>0</v>
      </c>
      <c r="EA10" s="18">
        <f t="shared" si="78"/>
        <v>0</v>
      </c>
      <c r="EB10" s="18">
        <f t="shared" si="79"/>
        <v>0</v>
      </c>
      <c r="EC10" s="18">
        <f t="shared" si="80"/>
        <v>0</v>
      </c>
      <c r="ED10" s="18">
        <f t="shared" si="81"/>
        <v>5.6512207983331136E-5</v>
      </c>
      <c r="EE10" s="18">
        <f t="shared" si="82"/>
        <v>2.1339113430967322E-4</v>
      </c>
      <c r="EF10" s="18">
        <f t="shared" si="83"/>
        <v>0</v>
      </c>
      <c r="EG10" s="18">
        <f t="shared" si="84"/>
        <v>0</v>
      </c>
      <c r="EH10" s="18">
        <f t="shared" si="85"/>
        <v>8.1735270838614234E-5</v>
      </c>
      <c r="EI10" s="18">
        <f t="shared" si="86"/>
        <v>0</v>
      </c>
      <c r="EJ10" s="18">
        <f t="shared" si="87"/>
        <v>0</v>
      </c>
      <c r="EK10" s="18">
        <f t="shared" si="88"/>
        <v>0</v>
      </c>
      <c r="EL10" s="2">
        <f t="shared" si="89"/>
        <v>0.91516414256396839</v>
      </c>
      <c r="EM10" s="2">
        <f t="shared" si="90"/>
        <v>4.7109501794860037E-2</v>
      </c>
      <c r="EN10" s="103">
        <f t="shared" si="97"/>
        <v>0.98438050094159835</v>
      </c>
      <c r="EO10" s="103">
        <f t="shared" si="93"/>
        <v>1.8930613103945104</v>
      </c>
      <c r="EP10" s="113">
        <f t="shared" si="46"/>
        <v>4.0387389243766746E-2</v>
      </c>
      <c r="EQ10" s="17">
        <f t="shared" si="47"/>
        <v>0.95961261075623328</v>
      </c>
      <c r="HH10">
        <f t="shared" si="94"/>
        <v>0.48568715797757134</v>
      </c>
      <c r="HI10" s="36">
        <f t="shared" si="91"/>
        <v>0.57518497203984775</v>
      </c>
      <c r="HJ10">
        <f t="shared" si="95"/>
        <v>2.4776483372219157E-2</v>
      </c>
      <c r="HK10">
        <f t="shared" si="92"/>
        <v>2.4207913789952795E-2</v>
      </c>
      <c r="HM10" s="36">
        <f t="shared" si="96"/>
        <v>0.5104636413497905</v>
      </c>
    </row>
    <row r="11" spans="1:221">
      <c r="A11" s="20">
        <f>'Phase CEMS PM Concentrations'!A11</f>
        <v>44315</v>
      </c>
      <c r="B11" s="20" t="str">
        <f>'Phase CEMS PM Concentrations'!B11</f>
        <v>BK Princess</v>
      </c>
      <c r="C11" s="20" t="str">
        <f>'Phase CEMS PM Concentrations'!C11</f>
        <v>Wet spruce</v>
      </c>
      <c r="D11" s="20" t="str">
        <f>'Phase CEMS PM Concentrations'!D11</f>
        <v>Startup</v>
      </c>
      <c r="E11" s="20" t="s">
        <v>446</v>
      </c>
      <c r="F11" s="48">
        <f>IF(ISBLANK('Phase CEMS PM Concentrations'!E11),"",'Phase CEMS PM Concentrations'!E11)</f>
        <v>44315.34375</v>
      </c>
      <c r="G11" s="48">
        <f>IF(ISBLANK('Phase CEMS PM Concentrations'!F11),"",'Phase CEMS PM Concentrations'!F11)</f>
        <v>44315.359027777777</v>
      </c>
      <c r="H11" s="9" t="str">
        <f>'[1]XRF Masses'!B37</f>
        <v>TF4721012</v>
      </c>
      <c r="I11" s="64" t="s">
        <v>447</v>
      </c>
      <c r="J11">
        <f>'[1]Teflon Filter Masses'!$R16</f>
        <v>0.455600000000004</v>
      </c>
      <c r="K11" s="9">
        <f>'[1]XRF Masses'!J37</f>
        <v>0.8034</v>
      </c>
      <c r="L11" s="9">
        <f>'[1]XRF Masses'!K37</f>
        <v>0</v>
      </c>
      <c r="M11" s="9">
        <f>'[1]XRF Masses'!L37</f>
        <v>0</v>
      </c>
      <c r="N11" s="9">
        <f>'[1]XRF Masses'!M37</f>
        <v>0.13220000000000001</v>
      </c>
      <c r="O11" s="9">
        <f>'[1]XRF Masses'!N37</f>
        <v>0</v>
      </c>
      <c r="P11" s="9">
        <f>'[1]XRF Masses'!O37</f>
        <v>0.77180000000000004</v>
      </c>
      <c r="Q11" s="9">
        <f>'[1]XRF Masses'!P37</f>
        <v>0.86899999999999999</v>
      </c>
      <c r="R11" s="9">
        <f>'[1]XRF Masses'!Q37</f>
        <v>0.84179999999999999</v>
      </c>
      <c r="S11" s="9">
        <f>'[1]XRF Masses'!R37</f>
        <v>0.28820000000000001</v>
      </c>
      <c r="T11" s="9">
        <f>'[1]XRF Masses'!S37</f>
        <v>0</v>
      </c>
      <c r="U11" s="9">
        <f>'[1]XRF Masses'!T37</f>
        <v>0</v>
      </c>
      <c r="V11" s="9">
        <f>'[1]XRF Masses'!U37</f>
        <v>0</v>
      </c>
      <c r="W11" s="9">
        <f>'[1]XRF Masses'!V37</f>
        <v>6.7999999999999996E-3</v>
      </c>
      <c r="X11" s="9">
        <f>'[1]XRF Masses'!W37</f>
        <v>3.73E-2</v>
      </c>
      <c r="Y11" s="9">
        <f>'[1]XRF Masses'!X37</f>
        <v>0</v>
      </c>
      <c r="Z11" s="9">
        <f>'[1]XRF Masses'!Y37</f>
        <v>0</v>
      </c>
      <c r="AA11" s="9">
        <f>'[1]XRF Masses'!Z37</f>
        <v>0</v>
      </c>
      <c r="AB11" s="9">
        <f>'[1]XRF Masses'!AA37</f>
        <v>0.18759999999999999</v>
      </c>
      <c r="AC11" s="9">
        <f>'[1]XRF Masses'!AB37</f>
        <v>0</v>
      </c>
      <c r="AD11" s="9">
        <f>'[1]XRF Masses'!AC37</f>
        <v>0</v>
      </c>
      <c r="AE11" s="9">
        <f>'[1]XRF Masses'!AD37</f>
        <v>2.3E-3</v>
      </c>
      <c r="AF11" s="9">
        <f>'[1]XRF Masses'!AE37</f>
        <v>1.1000000000000001E-3</v>
      </c>
      <c r="AG11" s="9">
        <f>'[1]XRF Masses'!AF37</f>
        <v>3.3999999999999998E-3</v>
      </c>
      <c r="AH11" s="9">
        <f>'[1]XRF Masses'!AG37</f>
        <v>1.1000000000000001E-3</v>
      </c>
      <c r="AI11" s="9">
        <f>'[1]XRF Masses'!AH37</f>
        <v>1.1000000000000001E-3</v>
      </c>
      <c r="AJ11" s="9">
        <f>'[1]XRF Masses'!AI37</f>
        <v>1.24E-2</v>
      </c>
      <c r="AK11" s="9">
        <f>'[1]XRF Masses'!AJ37</f>
        <v>0</v>
      </c>
      <c r="AL11" s="9">
        <f>'[1]XRF Masses'!AK37</f>
        <v>0</v>
      </c>
      <c r="AM11" s="9">
        <f>'[1]XRF Masses'!AL37</f>
        <v>0</v>
      </c>
      <c r="AN11" s="9">
        <f>'[1]XRF Masses'!AM37</f>
        <v>0</v>
      </c>
      <c r="AO11" s="9">
        <f>'[1]XRF Masses'!AN37</f>
        <v>2.4899999999999999E-2</v>
      </c>
      <c r="AP11" s="9">
        <f>'[1]XRF Masses'!AO37</f>
        <v>4.8599999999999997E-2</v>
      </c>
      <c r="AQ11" s="9">
        <f>'[1]XRF Masses'!AP37</f>
        <v>1.3599999999999999E-2</v>
      </c>
      <c r="AR11" s="9">
        <f>'[1]XRF Masses'!AQ37</f>
        <v>0</v>
      </c>
      <c r="AS11" s="9">
        <f>'[1]XRF Masses'!AR37</f>
        <v>0</v>
      </c>
      <c r="AT11" s="9">
        <f>'[1]XRF Masses'!AS37</f>
        <v>0</v>
      </c>
      <c r="AU11" s="9">
        <f>'[1]XRF Masses'!AT37</f>
        <v>4.4999999999999997E-3</v>
      </c>
      <c r="AV11" s="9">
        <f>'[1]XRF Masses'!AU37</f>
        <v>1.1299999999999999E-2</v>
      </c>
      <c r="AW11" s="9">
        <f>'[1]Quartz Filter Masses'!C16</f>
        <v>28.21</v>
      </c>
      <c r="AX11" s="9">
        <f>'[1]Quartz Filter Masses'!D16</f>
        <v>2.14</v>
      </c>
      <c r="AY11">
        <f>'[1]Quartz Back Filter Masses'!C14</f>
        <v>4.96</v>
      </c>
      <c r="AZ11">
        <f>'[1]Quartz Back Filter Masses'!D14</f>
        <v>0.05</v>
      </c>
      <c r="BA11" s="77">
        <f t="shared" si="0"/>
        <v>0.44979999999998199</v>
      </c>
      <c r="BB11" s="77">
        <f t="shared" si="1"/>
        <v>0.25349134130697609</v>
      </c>
      <c r="BC11" s="77">
        <f t="shared" si="2"/>
        <v>1.9429493925391433E-2</v>
      </c>
      <c r="BD11" s="92">
        <f t="shared" si="3"/>
        <v>4.2853837069087637E-2</v>
      </c>
      <c r="BE11" s="93">
        <f t="shared" si="4"/>
        <v>4.5396013844372507E-4</v>
      </c>
      <c r="BF11" s="82">
        <v>2.2030399999999999E-2</v>
      </c>
      <c r="BG11" s="83">
        <v>2.1420600000000001E-2</v>
      </c>
      <c r="BH11" s="50">
        <f t="shared" si="5"/>
        <v>2.8068398886101451E-2</v>
      </c>
      <c r="BI11" s="30">
        <f t="shared" si="6"/>
        <v>20.417241629747167</v>
      </c>
      <c r="BJ11" s="102">
        <f t="shared" si="7"/>
        <v>3.6467789962960274E-2</v>
      </c>
      <c r="BK11" s="102">
        <f t="shared" si="8"/>
        <v>0</v>
      </c>
      <c r="BL11" s="102">
        <f t="shared" si="9"/>
        <v>0</v>
      </c>
      <c r="BM11" s="102">
        <f t="shared" si="10"/>
        <v>6.0007988960708849E-3</v>
      </c>
      <c r="BN11" s="102">
        <f t="shared" si="11"/>
        <v>0</v>
      </c>
      <c r="BO11" s="102">
        <f t="shared" si="12"/>
        <v>3.5033408381146061E-2</v>
      </c>
      <c r="BP11" s="102">
        <f t="shared" si="13"/>
        <v>3.9445493499891064E-2</v>
      </c>
      <c r="BQ11" s="102">
        <f t="shared" si="14"/>
        <v>3.8210835935797813E-2</v>
      </c>
      <c r="BR11" s="102">
        <f t="shared" si="15"/>
        <v>1.3081923160723366E-2</v>
      </c>
      <c r="BS11" s="102">
        <f t="shared" si="16"/>
        <v>0</v>
      </c>
      <c r="BT11" s="102">
        <f t="shared" si="17"/>
        <v>0</v>
      </c>
      <c r="BU11" s="102">
        <f t="shared" si="18"/>
        <v>0</v>
      </c>
      <c r="BV11" s="102">
        <f t="shared" si="19"/>
        <v>3.0866439102331323E-4</v>
      </c>
      <c r="BW11" s="102">
        <f t="shared" si="20"/>
        <v>1.693114968407292E-3</v>
      </c>
      <c r="BX11" s="102">
        <f t="shared" si="21"/>
        <v>0</v>
      </c>
      <c r="BY11" s="102">
        <f t="shared" si="22"/>
        <v>0</v>
      </c>
      <c r="BZ11" s="102">
        <f t="shared" si="23"/>
        <v>0</v>
      </c>
      <c r="CA11" s="102">
        <f t="shared" si="24"/>
        <v>8.5155058464667002E-3</v>
      </c>
      <c r="CB11" s="102">
        <f t="shared" si="25"/>
        <v>0</v>
      </c>
      <c r="CC11" s="102">
        <f t="shared" si="26"/>
        <v>0</v>
      </c>
      <c r="CD11" s="102">
        <f t="shared" si="27"/>
        <v>1.0440119108141478E-4</v>
      </c>
      <c r="CE11" s="102">
        <f t="shared" si="28"/>
        <v>4.9931004430241859E-5</v>
      </c>
      <c r="CF11" s="102">
        <f t="shared" si="29"/>
        <v>1.5433219551165661E-4</v>
      </c>
      <c r="CG11" s="102">
        <f t="shared" si="30"/>
        <v>4.9931004430241859E-5</v>
      </c>
      <c r="CH11" s="102">
        <f t="shared" si="31"/>
        <v>4.9931004430241859E-5</v>
      </c>
      <c r="CI11" s="102">
        <f t="shared" si="32"/>
        <v>5.628585953954536E-4</v>
      </c>
      <c r="CJ11" s="102">
        <f t="shared" si="33"/>
        <v>0</v>
      </c>
      <c r="CK11" s="102">
        <f t="shared" si="34"/>
        <v>0</v>
      </c>
      <c r="CL11" s="102">
        <f t="shared" si="35"/>
        <v>0</v>
      </c>
      <c r="CM11" s="102">
        <f t="shared" si="36"/>
        <v>0</v>
      </c>
      <c r="CN11" s="102">
        <f t="shared" si="37"/>
        <v>1.1302563730118383E-3</v>
      </c>
      <c r="CO11" s="102">
        <f t="shared" si="38"/>
        <v>2.2060425593725037E-3</v>
      </c>
      <c r="CP11" s="102">
        <f t="shared" si="39"/>
        <v>6.1732878204662645E-4</v>
      </c>
      <c r="CQ11" s="102">
        <f t="shared" si="40"/>
        <v>0</v>
      </c>
      <c r="CR11" s="102">
        <f t="shared" si="41"/>
        <v>0</v>
      </c>
      <c r="CS11" s="102">
        <f t="shared" si="42"/>
        <v>0</v>
      </c>
      <c r="CT11" s="102">
        <f t="shared" si="43"/>
        <v>2.0426319994189845E-4</v>
      </c>
      <c r="CU11" s="102">
        <f t="shared" si="44"/>
        <v>5.1292759096521171E-4</v>
      </c>
      <c r="CV11" s="30">
        <f t="shared" si="48"/>
        <v>9.8887844217531793</v>
      </c>
      <c r="CW11" s="30">
        <f t="shared" si="49"/>
        <v>0.88644106015927104</v>
      </c>
      <c r="CX11" s="30">
        <f t="shared" si="45"/>
        <v>10.77522548191245</v>
      </c>
      <c r="CY11" s="2">
        <f t="shared" si="50"/>
        <v>20.408923269462424</v>
      </c>
      <c r="CZ11" s="18">
        <f t="shared" si="51"/>
        <v>3.5290994968793343E-2</v>
      </c>
      <c r="DA11" s="18">
        <f t="shared" si="52"/>
        <v>0</v>
      </c>
      <c r="DB11" s="18">
        <f t="shared" si="53"/>
        <v>0</v>
      </c>
      <c r="DC11" s="18">
        <f t="shared" si="54"/>
        <v>5.7613453647551776E-3</v>
      </c>
      <c r="DD11" s="18">
        <f t="shared" si="55"/>
        <v>0</v>
      </c>
      <c r="DE11" s="18">
        <f t="shared" si="56"/>
        <v>3.4930766812922939E-2</v>
      </c>
      <c r="DF11" s="18">
        <f t="shared" si="57"/>
        <v>3.9204624127016981E-2</v>
      </c>
      <c r="DG11" s="18">
        <f t="shared" si="58"/>
        <v>3.7894834712016948E-2</v>
      </c>
      <c r="DH11" s="18">
        <f t="shared" si="59"/>
        <v>1.2458096232141044E-2</v>
      </c>
      <c r="DI11" s="18">
        <f t="shared" si="60"/>
        <v>0</v>
      </c>
      <c r="DJ11" s="18">
        <f t="shared" si="61"/>
        <v>0</v>
      </c>
      <c r="DK11" s="18">
        <f t="shared" si="62"/>
        <v>0</v>
      </c>
      <c r="DL11" s="18">
        <f t="shared" si="63"/>
        <v>2.7515076285489665E-4</v>
      </c>
      <c r="DM11" s="18">
        <f t="shared" si="64"/>
        <v>1.415319073560174E-3</v>
      </c>
      <c r="DN11" s="18">
        <f t="shared" si="65"/>
        <v>0</v>
      </c>
      <c r="DO11" s="18">
        <f t="shared" si="66"/>
        <v>0</v>
      </c>
      <c r="DP11" s="18">
        <f t="shared" si="67"/>
        <v>0</v>
      </c>
      <c r="DQ11" s="18">
        <f t="shared" si="68"/>
        <v>8.4440235854877834E-3</v>
      </c>
      <c r="DR11" s="18">
        <f t="shared" si="69"/>
        <v>0</v>
      </c>
      <c r="DS11" s="18">
        <f t="shared" si="70"/>
        <v>0</v>
      </c>
      <c r="DT11" s="18">
        <f t="shared" si="71"/>
        <v>9.2522943122988648E-5</v>
      </c>
      <c r="DU11" s="18">
        <f t="shared" si="72"/>
        <v>4.9931004430241859E-5</v>
      </c>
      <c r="DV11" s="18">
        <f t="shared" si="73"/>
        <v>1.4945362938587444E-4</v>
      </c>
      <c r="DW11" s="18">
        <f t="shared" si="74"/>
        <v>4.9931004430241859E-5</v>
      </c>
      <c r="DX11" s="18">
        <f t="shared" si="75"/>
        <v>4.9931004430241859E-5</v>
      </c>
      <c r="DY11" s="18">
        <f t="shared" si="76"/>
        <v>5.4871738291125847E-4</v>
      </c>
      <c r="DZ11" s="18">
        <f t="shared" si="77"/>
        <v>0</v>
      </c>
      <c r="EA11" s="18">
        <f t="shared" si="78"/>
        <v>0</v>
      </c>
      <c r="EB11" s="18">
        <f t="shared" si="79"/>
        <v>0</v>
      </c>
      <c r="EC11" s="18">
        <f t="shared" si="80"/>
        <v>0</v>
      </c>
      <c r="ED11" s="18">
        <f t="shared" si="81"/>
        <v>1.1138276114493176E-3</v>
      </c>
      <c r="EE11" s="18">
        <f t="shared" si="82"/>
        <v>2.2060425593725037E-3</v>
      </c>
      <c r="EF11" s="18">
        <f t="shared" si="83"/>
        <v>6.1732878204662645E-4</v>
      </c>
      <c r="EG11" s="18">
        <f t="shared" si="84"/>
        <v>0</v>
      </c>
      <c r="EH11" s="18">
        <f t="shared" si="85"/>
        <v>0</v>
      </c>
      <c r="EI11" s="18">
        <f t="shared" si="86"/>
        <v>0</v>
      </c>
      <c r="EJ11" s="18">
        <f t="shared" si="87"/>
        <v>2.0426319994189845E-4</v>
      </c>
      <c r="EK11" s="18">
        <f t="shared" si="88"/>
        <v>4.9878637848101658E-4</v>
      </c>
      <c r="EL11" s="2">
        <f t="shared" si="89"/>
        <v>9.8804728758286107</v>
      </c>
      <c r="EM11" s="2">
        <f t="shared" si="90"/>
        <v>0.88644106015927104</v>
      </c>
      <c r="EN11" s="103">
        <f t="shared" si="97"/>
        <v>10.948169827127433</v>
      </c>
      <c r="EO11" s="103">
        <f t="shared" si="93"/>
        <v>20.408923269462424</v>
      </c>
      <c r="EP11" s="113">
        <f t="shared" si="46"/>
        <v>7.1190951430472382E-2</v>
      </c>
      <c r="EQ11" s="17">
        <f t="shared" si="47"/>
        <v>0.92880904856952751</v>
      </c>
      <c r="HH11">
        <f t="shared" si="94"/>
        <v>0.48433498516007106</v>
      </c>
      <c r="HI11" s="36">
        <f t="shared" si="91"/>
        <v>0.56356456493327312</v>
      </c>
      <c r="HJ11">
        <f t="shared" si="95"/>
        <v>4.3416298647695833E-2</v>
      </c>
      <c r="HK11">
        <f t="shared" si="92"/>
        <v>4.3195851323682102E-2</v>
      </c>
      <c r="HM11" s="36">
        <f t="shared" si="96"/>
        <v>0.52775128380776692</v>
      </c>
    </row>
    <row r="12" spans="1:221">
      <c r="A12" s="20">
        <f>'Phase CEMS PM Concentrations'!A12</f>
        <v>44315</v>
      </c>
      <c r="B12" s="20" t="str">
        <f>'Phase CEMS PM Concentrations'!B12</f>
        <v>BK Princess</v>
      </c>
      <c r="C12" s="20" t="str">
        <f>'Phase CEMS PM Concentrations'!C12</f>
        <v>Wet spruce</v>
      </c>
      <c r="D12" s="20" t="str">
        <f>'Phase CEMS PM Concentrations'!D12</f>
        <v>Low</v>
      </c>
      <c r="E12" s="20" t="s">
        <v>448</v>
      </c>
      <c r="F12" s="48">
        <f>IF(ISBLANK('Phase CEMS PM Concentrations'!E12),"",'Phase CEMS PM Concentrations'!E12)</f>
        <v>44315.361111111109</v>
      </c>
      <c r="G12" s="48">
        <f>IF(ISBLANK('Phase CEMS PM Concentrations'!F12),"",'Phase CEMS PM Concentrations'!F12)</f>
        <v>44315.736111111109</v>
      </c>
      <c r="H12" s="9" t="str">
        <f>'[1]XRF Masses'!B38</f>
        <v>TF4721013</v>
      </c>
      <c r="I12" s="64" t="s">
        <v>449</v>
      </c>
      <c r="J12">
        <f>'[1]Teflon Filter Masses'!$R17</f>
        <v>3.1293000000000006</v>
      </c>
      <c r="K12" s="9">
        <f>'[1]XRF Masses'!J38</f>
        <v>0</v>
      </c>
      <c r="L12" s="9">
        <f>'[1]XRF Masses'!K38</f>
        <v>0</v>
      </c>
      <c r="M12" s="9">
        <f>'[1]XRF Masses'!L38</f>
        <v>5.5399999999999998E-2</v>
      </c>
      <c r="N12" s="9">
        <f>'[1]XRF Masses'!M38</f>
        <v>0.15820000000000001</v>
      </c>
      <c r="O12" s="9">
        <f>'[1]XRF Masses'!N38</f>
        <v>1.8100000000000002E-2</v>
      </c>
      <c r="P12" s="9">
        <f>'[1]XRF Masses'!O38</f>
        <v>1.0049999999999999</v>
      </c>
      <c r="Q12" s="9">
        <f>'[1]XRF Masses'!P38</f>
        <v>1.9590000000000001</v>
      </c>
      <c r="R12" s="9">
        <f>'[1]XRF Masses'!Q38</f>
        <v>3.2669999999999999</v>
      </c>
      <c r="S12" s="9">
        <f>'[1]XRF Masses'!R38</f>
        <v>0.79659999999999997</v>
      </c>
      <c r="T12" s="9">
        <f>'[1]XRF Masses'!S38</f>
        <v>3.1600000000000003E-2</v>
      </c>
      <c r="U12" s="9">
        <f>'[1]XRF Masses'!T38</f>
        <v>0</v>
      </c>
      <c r="V12" s="9">
        <f>'[1]XRF Masses'!U38</f>
        <v>0</v>
      </c>
      <c r="W12" s="9">
        <f>'[1]XRF Masses'!V38</f>
        <v>3.0499999999999999E-2</v>
      </c>
      <c r="X12" s="9">
        <f>'[1]XRF Masses'!W38</f>
        <v>0.20449999999999999</v>
      </c>
      <c r="Y12" s="9">
        <f>'[1]XRF Masses'!X38</f>
        <v>0</v>
      </c>
      <c r="Z12" s="9">
        <f>'[1]XRF Masses'!Y38</f>
        <v>1.1000000000000001E-3</v>
      </c>
      <c r="AA12" s="9">
        <f>'[1]XRF Masses'!Z38</f>
        <v>1.3599999999999999E-2</v>
      </c>
      <c r="AB12" s="9">
        <f>'[1]XRF Masses'!AA38</f>
        <v>0.35709999999999997</v>
      </c>
      <c r="AC12" s="9">
        <f>'[1]XRF Masses'!AB38</f>
        <v>7.9000000000000008E-3</v>
      </c>
      <c r="AD12" s="9">
        <f>'[1]XRF Masses'!AC38</f>
        <v>4.4999999999999997E-3</v>
      </c>
      <c r="AE12" s="9">
        <f>'[1]XRF Masses'!AD38</f>
        <v>0</v>
      </c>
      <c r="AF12" s="9">
        <f>'[1]XRF Masses'!AE38</f>
        <v>6.7999999999999996E-3</v>
      </c>
      <c r="AG12" s="9">
        <f>'[1]XRF Masses'!AF38</f>
        <v>1.0200000000000001E-2</v>
      </c>
      <c r="AH12" s="9">
        <f>'[1]XRF Masses'!AG38</f>
        <v>1.7000000000000001E-2</v>
      </c>
      <c r="AI12" s="9">
        <f>'[1]XRF Masses'!AH38</f>
        <v>1.5800000000000002E-2</v>
      </c>
      <c r="AJ12" s="9">
        <f>'[1]XRF Masses'!AI38</f>
        <v>0</v>
      </c>
      <c r="AK12" s="9">
        <f>'[1]XRF Masses'!AJ38</f>
        <v>1.0200000000000001E-2</v>
      </c>
      <c r="AL12" s="9">
        <f>'[1]XRF Masses'!AK38</f>
        <v>0</v>
      </c>
      <c r="AM12" s="9">
        <f>'[1]XRF Masses'!AL38</f>
        <v>0</v>
      </c>
      <c r="AN12" s="9">
        <f>'[1]XRF Masses'!AM38</f>
        <v>2.0299999999999999E-2</v>
      </c>
      <c r="AO12" s="9">
        <f>'[1]XRF Masses'!AN38</f>
        <v>0</v>
      </c>
      <c r="AP12" s="9">
        <f>'[1]XRF Masses'!AO38</f>
        <v>0</v>
      </c>
      <c r="AQ12" s="9">
        <f>'[1]XRF Masses'!AP38</f>
        <v>0.12659999999999999</v>
      </c>
      <c r="AR12" s="9">
        <f>'[1]XRF Masses'!AQ38</f>
        <v>4.5199999999999997E-2</v>
      </c>
      <c r="AS12" s="9">
        <f>'[1]XRF Masses'!AR38</f>
        <v>0</v>
      </c>
      <c r="AT12" s="9">
        <f>'[1]XRF Masses'!AS38</f>
        <v>0</v>
      </c>
      <c r="AU12" s="9">
        <f>'[1]XRF Masses'!AT38</f>
        <v>0</v>
      </c>
      <c r="AV12" s="9">
        <f>'[1]XRF Masses'!AU38</f>
        <v>0</v>
      </c>
      <c r="AW12" s="9">
        <f>'[1]Quartz Filter Masses'!C17</f>
        <v>181.65</v>
      </c>
      <c r="AX12" s="9">
        <f>'[1]Quartz Filter Masses'!D17</f>
        <v>1.62</v>
      </c>
      <c r="AY12">
        <f>'[1]Quartz Back Filter Masses'!C15</f>
        <v>13.77</v>
      </c>
      <c r="AZ12">
        <f>'[1]Quartz Back Filter Masses'!D15</f>
        <v>0.12</v>
      </c>
      <c r="BA12" s="77">
        <f t="shared" si="0"/>
        <v>3.1234999999999786</v>
      </c>
      <c r="BB12" s="77">
        <f t="shared" si="1"/>
        <v>1.6466042141630797</v>
      </c>
      <c r="BC12" s="77">
        <f t="shared" si="2"/>
        <v>1.4708308485576692E-2</v>
      </c>
      <c r="BD12" s="92">
        <f t="shared" si="3"/>
        <v>0.12284161346287199</v>
      </c>
      <c r="BE12" s="93">
        <f t="shared" si="4"/>
        <v>1.08950433226494E-3</v>
      </c>
      <c r="BF12" s="82">
        <v>0.537493</v>
      </c>
      <c r="BG12" s="83">
        <v>0.52476699999999998</v>
      </c>
      <c r="BH12" s="50">
        <f t="shared" si="5"/>
        <v>2.3960235723834118E-2</v>
      </c>
      <c r="BI12" s="30">
        <f t="shared" si="6"/>
        <v>5.8112384719428505</v>
      </c>
      <c r="BJ12" s="102">
        <f t="shared" si="7"/>
        <v>0</v>
      </c>
      <c r="BK12" s="102">
        <f t="shared" si="8"/>
        <v>0</v>
      </c>
      <c r="BL12" s="102">
        <f t="shared" si="9"/>
        <v>1.0307110976328995E-4</v>
      </c>
      <c r="BM12" s="102">
        <f t="shared" si="10"/>
        <v>2.9432941452260772E-4</v>
      </c>
      <c r="BN12" s="102">
        <f t="shared" si="11"/>
        <v>3.3674857160930474E-5</v>
      </c>
      <c r="BO12" s="102">
        <f t="shared" si="12"/>
        <v>1.8697917926372993E-3</v>
      </c>
      <c r="BP12" s="102">
        <f t="shared" si="13"/>
        <v>3.644698628633303E-3</v>
      </c>
      <c r="BQ12" s="102">
        <f t="shared" si="14"/>
        <v>6.0782186930806534E-3</v>
      </c>
      <c r="BR12" s="102">
        <f t="shared" si="15"/>
        <v>1.482065812950122E-3</v>
      </c>
      <c r="BS12" s="102">
        <f t="shared" si="16"/>
        <v>5.8791463330685247E-5</v>
      </c>
      <c r="BT12" s="102">
        <f t="shared" si="17"/>
        <v>0</v>
      </c>
      <c r="BU12" s="102">
        <f t="shared" si="18"/>
        <v>0</v>
      </c>
      <c r="BV12" s="102">
        <f t="shared" si="19"/>
        <v>5.6744925050186697E-5</v>
      </c>
      <c r="BW12" s="102">
        <f t="shared" si="20"/>
        <v>3.8047007123813702E-4</v>
      </c>
      <c r="BX12" s="102">
        <f t="shared" si="21"/>
        <v>0</v>
      </c>
      <c r="BY12" s="102">
        <f t="shared" si="22"/>
        <v>2.0465382804985367E-6</v>
      </c>
      <c r="BZ12" s="102">
        <f t="shared" si="23"/>
        <v>2.5302655104345543E-5</v>
      </c>
      <c r="CA12" s="102">
        <f t="shared" si="24"/>
        <v>6.6438074542366128E-4</v>
      </c>
      <c r="CB12" s="102">
        <f t="shared" si="25"/>
        <v>1.4697865832671312E-5</v>
      </c>
      <c r="CC12" s="102">
        <f t="shared" si="26"/>
        <v>8.3722020565849227E-6</v>
      </c>
      <c r="CD12" s="102">
        <f t="shared" si="27"/>
        <v>0</v>
      </c>
      <c r="CE12" s="102">
        <f t="shared" si="28"/>
        <v>1.2651327552172771E-5</v>
      </c>
      <c r="CF12" s="102">
        <f t="shared" si="29"/>
        <v>1.8976991328259162E-5</v>
      </c>
      <c r="CG12" s="102">
        <f t="shared" si="30"/>
        <v>3.162831888043193E-5</v>
      </c>
      <c r="CH12" s="102">
        <f t="shared" si="31"/>
        <v>2.9395731665342624E-5</v>
      </c>
      <c r="CI12" s="102">
        <f t="shared" si="32"/>
        <v>0</v>
      </c>
      <c r="CJ12" s="102">
        <f t="shared" si="33"/>
        <v>1.8976991328259162E-5</v>
      </c>
      <c r="CK12" s="102">
        <f t="shared" si="34"/>
        <v>0</v>
      </c>
      <c r="CL12" s="102">
        <f t="shared" si="35"/>
        <v>0</v>
      </c>
      <c r="CM12" s="102">
        <f t="shared" si="36"/>
        <v>3.7767933721927541E-5</v>
      </c>
      <c r="CN12" s="102">
        <f t="shared" si="37"/>
        <v>0</v>
      </c>
      <c r="CO12" s="102">
        <f t="shared" si="38"/>
        <v>0</v>
      </c>
      <c r="CP12" s="102">
        <f t="shared" si="39"/>
        <v>2.3553795119192247E-4</v>
      </c>
      <c r="CQ12" s="102">
        <f t="shared" si="40"/>
        <v>8.4094118435030769E-5</v>
      </c>
      <c r="CR12" s="102">
        <f t="shared" si="41"/>
        <v>0</v>
      </c>
      <c r="CS12" s="102">
        <f t="shared" si="42"/>
        <v>0</v>
      </c>
      <c r="CT12" s="102">
        <f t="shared" si="43"/>
        <v>0</v>
      </c>
      <c r="CU12" s="102">
        <f t="shared" si="44"/>
        <v>0</v>
      </c>
      <c r="CV12" s="30">
        <f t="shared" si="48"/>
        <v>2.9092360436149503</v>
      </c>
      <c r="CW12" s="30">
        <f t="shared" si="49"/>
        <v>2.6001253695210936E-2</v>
      </c>
      <c r="CX12" s="30">
        <f t="shared" si="45"/>
        <v>2.9352372973101613</v>
      </c>
      <c r="CY12" s="2">
        <f t="shared" si="50"/>
        <v>5.8029201116581079</v>
      </c>
      <c r="CZ12" s="18">
        <f t="shared" si="51"/>
        <v>0</v>
      </c>
      <c r="DA12" s="18">
        <f t="shared" si="52"/>
        <v>0</v>
      </c>
      <c r="DB12" s="18">
        <f t="shared" si="53"/>
        <v>1.0307110976328995E-4</v>
      </c>
      <c r="DC12" s="18">
        <f t="shared" si="54"/>
        <v>5.4875883206900456E-5</v>
      </c>
      <c r="DD12" s="18">
        <f t="shared" si="55"/>
        <v>2.1796609202504339E-5</v>
      </c>
      <c r="DE12" s="18">
        <f t="shared" si="56"/>
        <v>1.7671502244141787E-3</v>
      </c>
      <c r="DF12" s="18">
        <f t="shared" si="57"/>
        <v>3.4038292557592225E-3</v>
      </c>
      <c r="DG12" s="18">
        <f t="shared" si="58"/>
        <v>5.7622174692997918E-3</v>
      </c>
      <c r="DH12" s="18">
        <f t="shared" si="59"/>
        <v>8.582388843677999E-4</v>
      </c>
      <c r="DI12" s="18">
        <f t="shared" si="60"/>
        <v>5.4008406166913371E-5</v>
      </c>
      <c r="DJ12" s="18">
        <f t="shared" si="61"/>
        <v>0</v>
      </c>
      <c r="DK12" s="18">
        <f t="shared" si="62"/>
        <v>0</v>
      </c>
      <c r="DL12" s="18">
        <f t="shared" si="63"/>
        <v>2.3231296881770105E-5</v>
      </c>
      <c r="DM12" s="18">
        <f t="shared" si="64"/>
        <v>1.0267417639101901E-4</v>
      </c>
      <c r="DN12" s="18">
        <f t="shared" si="65"/>
        <v>0</v>
      </c>
      <c r="DO12" s="18">
        <f t="shared" si="66"/>
        <v>0</v>
      </c>
      <c r="DP12" s="18">
        <f t="shared" si="67"/>
        <v>2.5302655104345543E-5</v>
      </c>
      <c r="DQ12" s="18">
        <f t="shared" si="68"/>
        <v>5.9289848444474377E-4</v>
      </c>
      <c r="DR12" s="18">
        <f t="shared" si="69"/>
        <v>0</v>
      </c>
      <c r="DS12" s="18">
        <f t="shared" si="70"/>
        <v>8.3722020565849227E-6</v>
      </c>
      <c r="DT12" s="18">
        <f t="shared" si="71"/>
        <v>0</v>
      </c>
      <c r="DU12" s="18">
        <f t="shared" si="72"/>
        <v>1.2651327552172771E-5</v>
      </c>
      <c r="DV12" s="18">
        <f t="shared" si="73"/>
        <v>1.4098425202477001E-5</v>
      </c>
      <c r="DW12" s="18">
        <f t="shared" si="74"/>
        <v>3.162831888043193E-5</v>
      </c>
      <c r="DX12" s="18">
        <f t="shared" si="75"/>
        <v>2.9395731665342624E-5</v>
      </c>
      <c r="DY12" s="18">
        <f t="shared" si="76"/>
        <v>0</v>
      </c>
      <c r="DZ12" s="18">
        <f t="shared" si="77"/>
        <v>1.8976991328259162E-5</v>
      </c>
      <c r="EA12" s="18">
        <f t="shared" si="78"/>
        <v>0</v>
      </c>
      <c r="EB12" s="18">
        <f t="shared" si="79"/>
        <v>0</v>
      </c>
      <c r="EC12" s="18">
        <f t="shared" si="80"/>
        <v>3.7767933721927541E-5</v>
      </c>
      <c r="ED12" s="18">
        <f t="shared" si="81"/>
        <v>0</v>
      </c>
      <c r="EE12" s="18">
        <f t="shared" si="82"/>
        <v>0</v>
      </c>
      <c r="EF12" s="18">
        <f t="shared" si="83"/>
        <v>2.3553795119192247E-4</v>
      </c>
      <c r="EG12" s="18">
        <f t="shared" si="84"/>
        <v>8.4094118435030769E-5</v>
      </c>
      <c r="EH12" s="18">
        <f t="shared" si="85"/>
        <v>0</v>
      </c>
      <c r="EI12" s="18">
        <f t="shared" si="86"/>
        <v>0</v>
      </c>
      <c r="EJ12" s="18">
        <f t="shared" si="87"/>
        <v>0</v>
      </c>
      <c r="EK12" s="18">
        <f t="shared" si="88"/>
        <v>0</v>
      </c>
      <c r="EL12" s="2">
        <f t="shared" si="89"/>
        <v>2.9009244976903821</v>
      </c>
      <c r="EM12" s="2">
        <f t="shared" si="90"/>
        <v>2.6001253695210936E-2</v>
      </c>
      <c r="EN12" s="103">
        <f t="shared" si="97"/>
        <v>2.9401675688406299</v>
      </c>
      <c r="EO12" s="103">
        <f t="shared" si="93"/>
        <v>5.8029201116581079</v>
      </c>
      <c r="EP12" s="113">
        <f t="shared" si="46"/>
        <v>8.8534266040004375E-3</v>
      </c>
      <c r="EQ12" s="17">
        <f t="shared" si="47"/>
        <v>0.99114657339599965</v>
      </c>
      <c r="HH12">
        <f t="shared" si="94"/>
        <v>0.5006223815561841</v>
      </c>
      <c r="HI12" s="36">
        <f t="shared" si="91"/>
        <v>0.5271663883986204</v>
      </c>
      <c r="HJ12">
        <f t="shared" si="95"/>
        <v>4.4743050591964486E-3</v>
      </c>
      <c r="HK12">
        <f t="shared" si="92"/>
        <v>4.7089189965028953E-3</v>
      </c>
      <c r="HM12" s="36">
        <f t="shared" si="96"/>
        <v>0.50509668661538065</v>
      </c>
    </row>
    <row r="13" spans="1:221">
      <c r="A13" s="20">
        <f>'Phase CEMS PM Concentrations'!A13</f>
        <v>44326</v>
      </c>
      <c r="B13" s="20" t="str">
        <f>'Phase CEMS PM Concentrations'!B13</f>
        <v>BK Princess</v>
      </c>
      <c r="C13" s="20" t="str">
        <f>'Phase CEMS PM Concentrations'!C13</f>
        <v>Wet spruce</v>
      </c>
      <c r="D13" s="20" t="str">
        <f>'Phase CEMS PM Concentrations'!D13</f>
        <v>Startup</v>
      </c>
      <c r="E13" s="21" t="s">
        <v>450</v>
      </c>
      <c r="F13" s="48">
        <f>IF(ISBLANK('Phase CEMS PM Concentrations'!E13),"",'Phase CEMS PM Concentrations'!E13)</f>
        <v>44326.392361111109</v>
      </c>
      <c r="G13" s="48">
        <f>IF(ISBLANK('Phase CEMS PM Concentrations'!F13),"",'Phase CEMS PM Concentrations'!F13)</f>
        <v>44326.410416666666</v>
      </c>
      <c r="H13" s="9" t="str">
        <f>'[1]XRF Masses'!B39</f>
        <v>TF4721014</v>
      </c>
      <c r="I13" s="64" t="s">
        <v>451</v>
      </c>
      <c r="J13">
        <f>'[1]Teflon Filter Masses'!$R18</f>
        <v>0.60779999999999745</v>
      </c>
      <c r="K13" s="9">
        <f>'[1]XRF Masses'!J39</f>
        <v>0.39319999999999999</v>
      </c>
      <c r="L13" s="9">
        <f>'[1]XRF Masses'!K39</f>
        <v>5.5999999999999999E-3</v>
      </c>
      <c r="M13" s="9">
        <f>'[1]XRF Masses'!L39</f>
        <v>0</v>
      </c>
      <c r="N13" s="9">
        <f>'[1]XRF Masses'!M39</f>
        <v>4.4999999999999997E-3</v>
      </c>
      <c r="O13" s="9">
        <f>'[1]XRF Masses'!N39</f>
        <v>0</v>
      </c>
      <c r="P13" s="9">
        <f>'[1]XRF Masses'!O39</f>
        <v>0.57179999999999997</v>
      </c>
      <c r="Q13" s="9">
        <f>'[1]XRF Masses'!P39</f>
        <v>0.82830000000000004</v>
      </c>
      <c r="R13" s="9">
        <f>'[1]XRF Masses'!Q39</f>
        <v>0.91639999999999999</v>
      </c>
      <c r="S13" s="9">
        <f>'[1]XRF Masses'!R39</f>
        <v>0.19439999999999999</v>
      </c>
      <c r="T13" s="9">
        <f>'[1]XRF Masses'!S39</f>
        <v>0</v>
      </c>
      <c r="U13" s="9">
        <f>'[1]XRF Masses'!T39</f>
        <v>0</v>
      </c>
      <c r="V13" s="9">
        <f>'[1]XRF Masses'!U39</f>
        <v>0</v>
      </c>
      <c r="W13" s="9">
        <f>'[1]XRF Masses'!V39</f>
        <v>0</v>
      </c>
      <c r="X13" s="9">
        <f>'[1]XRF Masses'!W39</f>
        <v>2.8199999999999999E-2</v>
      </c>
      <c r="Y13" s="9">
        <f>'[1]XRF Masses'!X39</f>
        <v>4.4999999999999997E-3</v>
      </c>
      <c r="Z13" s="9">
        <f>'[1]XRF Masses'!Y39</f>
        <v>0</v>
      </c>
      <c r="AA13" s="9">
        <f>'[1]XRF Masses'!Z39</f>
        <v>0</v>
      </c>
      <c r="AB13" s="9">
        <f>'[1]XRF Masses'!AA39</f>
        <v>0.1492</v>
      </c>
      <c r="AC13" s="9">
        <f>'[1]XRF Masses'!AB39</f>
        <v>0</v>
      </c>
      <c r="AD13" s="9">
        <f>'[1]XRF Masses'!AC39</f>
        <v>0</v>
      </c>
      <c r="AE13" s="9">
        <f>'[1]XRF Masses'!AD39</f>
        <v>0</v>
      </c>
      <c r="AF13" s="9">
        <f>'[1]XRF Masses'!AE39</f>
        <v>0</v>
      </c>
      <c r="AG13" s="9">
        <f>'[1]XRF Masses'!AF39</f>
        <v>1.1299999999999999E-2</v>
      </c>
      <c r="AH13" s="9">
        <f>'[1]XRF Masses'!AG39</f>
        <v>4.4999999999999997E-3</v>
      </c>
      <c r="AI13" s="9">
        <f>'[1]XRF Masses'!AH39</f>
        <v>0</v>
      </c>
      <c r="AJ13" s="9">
        <f>'[1]XRF Masses'!AI39</f>
        <v>5.5999999999999999E-3</v>
      </c>
      <c r="AK13" s="9">
        <f>'[1]XRF Masses'!AJ39</f>
        <v>0</v>
      </c>
      <c r="AL13" s="9">
        <f>'[1]XRF Masses'!AK39</f>
        <v>1.0200000000000001E-2</v>
      </c>
      <c r="AM13" s="9">
        <f>'[1]XRF Masses'!AL39</f>
        <v>8.9999999999999993E-3</v>
      </c>
      <c r="AN13" s="9">
        <f>'[1]XRF Masses'!AM39</f>
        <v>1.0200000000000001E-2</v>
      </c>
      <c r="AO13" s="9">
        <f>'[1]XRF Masses'!AN39</f>
        <v>0</v>
      </c>
      <c r="AP13" s="9">
        <f>'[1]XRF Masses'!AO39</f>
        <v>0</v>
      </c>
      <c r="AQ13" s="9">
        <f>'[1]XRF Masses'!AP39</f>
        <v>0</v>
      </c>
      <c r="AR13" s="9">
        <f>'[1]XRF Masses'!AQ39</f>
        <v>0</v>
      </c>
      <c r="AS13" s="9">
        <f>'[1]XRF Masses'!AR39</f>
        <v>4.1799999999999997E-2</v>
      </c>
      <c r="AT13" s="9">
        <f>'[1]XRF Masses'!AS39</f>
        <v>3.1600000000000003E-2</v>
      </c>
      <c r="AU13" s="9">
        <f>'[1]XRF Masses'!AT39</f>
        <v>0</v>
      </c>
      <c r="AV13" s="9">
        <f>'[1]XRF Masses'!AU39</f>
        <v>1.3599999999999999E-2</v>
      </c>
      <c r="AW13" s="9">
        <f>'[1]Quartz Filter Masses'!C18</f>
        <v>38.090000000000003</v>
      </c>
      <c r="AX13" s="9">
        <f>'[1]Quartz Filter Masses'!D18</f>
        <v>1.69</v>
      </c>
      <c r="AY13">
        <f>'[1]Quartz Back Filter Masses'!C16</f>
        <v>5.0199999999999996</v>
      </c>
      <c r="AZ13">
        <f>'[1]Quartz Back Filter Masses'!D16</f>
        <v>0</v>
      </c>
      <c r="BA13" s="77">
        <f t="shared" si="0"/>
        <v>0.60199999999997544</v>
      </c>
      <c r="BB13" s="77">
        <f t="shared" si="1"/>
        <v>0.34319386466345619</v>
      </c>
      <c r="BC13" s="77">
        <f t="shared" si="2"/>
        <v>1.5343852679397906E-2</v>
      </c>
      <c r="BD13" s="92">
        <f t="shared" si="3"/>
        <v>4.3398589235220109E-2</v>
      </c>
      <c r="BE13" s="93">
        <f t="shared" si="4"/>
        <v>0</v>
      </c>
      <c r="BF13" s="82">
        <v>2.50014E-2</v>
      </c>
      <c r="BG13" s="83">
        <v>2.45189E-2</v>
      </c>
      <c r="BH13" s="50">
        <f t="shared" si="5"/>
        <v>1.9486957873841648E-2</v>
      </c>
      <c r="BI13" s="30">
        <f t="shared" si="6"/>
        <v>24.078651595509669</v>
      </c>
      <c r="BJ13" s="102">
        <f t="shared" si="7"/>
        <v>1.5727119281320246E-2</v>
      </c>
      <c r="BK13" s="102">
        <f t="shared" si="8"/>
        <v>2.2398745670242467E-4</v>
      </c>
      <c r="BL13" s="102">
        <f t="shared" si="9"/>
        <v>0</v>
      </c>
      <c r="BM13" s="102">
        <f t="shared" si="10"/>
        <v>1.7998992056444837E-4</v>
      </c>
      <c r="BN13" s="102">
        <f t="shared" si="11"/>
        <v>0</v>
      </c>
      <c r="BO13" s="102">
        <f t="shared" si="12"/>
        <v>2.2870719239722576E-2</v>
      </c>
      <c r="BP13" s="102">
        <f t="shared" si="13"/>
        <v>3.313014471189614E-2</v>
      </c>
      <c r="BQ13" s="102">
        <f t="shared" si="14"/>
        <v>3.6653947378946783E-2</v>
      </c>
      <c r="BR13" s="102">
        <f t="shared" si="15"/>
        <v>7.77556456838417E-3</v>
      </c>
      <c r="BS13" s="102">
        <f t="shared" si="16"/>
        <v>0</v>
      </c>
      <c r="BT13" s="102">
        <f t="shared" si="17"/>
        <v>0</v>
      </c>
      <c r="BU13" s="102">
        <f t="shared" si="18"/>
        <v>0</v>
      </c>
      <c r="BV13" s="102">
        <f t="shared" si="19"/>
        <v>0</v>
      </c>
      <c r="BW13" s="102">
        <f t="shared" si="20"/>
        <v>1.1279368355372099E-3</v>
      </c>
      <c r="BX13" s="102">
        <f t="shared" si="21"/>
        <v>1.7998992056444837E-4</v>
      </c>
      <c r="BY13" s="102">
        <f t="shared" si="22"/>
        <v>0</v>
      </c>
      <c r="BZ13" s="102">
        <f t="shared" si="23"/>
        <v>0</v>
      </c>
      <c r="CA13" s="102">
        <f t="shared" si="24"/>
        <v>5.9676658107146001E-3</v>
      </c>
      <c r="CB13" s="102">
        <f t="shared" si="25"/>
        <v>0</v>
      </c>
      <c r="CC13" s="102">
        <f t="shared" si="26"/>
        <v>0</v>
      </c>
      <c r="CD13" s="102">
        <f t="shared" si="27"/>
        <v>0</v>
      </c>
      <c r="CE13" s="102">
        <f t="shared" si="28"/>
        <v>0</v>
      </c>
      <c r="CF13" s="102">
        <f t="shared" si="29"/>
        <v>4.5197468941739259E-4</v>
      </c>
      <c r="CG13" s="102">
        <f t="shared" si="30"/>
        <v>1.7998992056444837E-4</v>
      </c>
      <c r="CH13" s="102">
        <f t="shared" si="31"/>
        <v>0</v>
      </c>
      <c r="CI13" s="102">
        <f t="shared" si="32"/>
        <v>2.2398745670242467E-4</v>
      </c>
      <c r="CJ13" s="102">
        <f t="shared" si="33"/>
        <v>0</v>
      </c>
      <c r="CK13" s="102">
        <f t="shared" si="34"/>
        <v>4.0797715327941635E-4</v>
      </c>
      <c r="CL13" s="102">
        <f t="shared" si="35"/>
        <v>3.5997984112889675E-4</v>
      </c>
      <c r="CM13" s="102">
        <f t="shared" si="36"/>
        <v>4.0797715327941635E-4</v>
      </c>
      <c r="CN13" s="102">
        <f t="shared" si="37"/>
        <v>0</v>
      </c>
      <c r="CO13" s="102">
        <f t="shared" si="38"/>
        <v>0</v>
      </c>
      <c r="CP13" s="102">
        <f t="shared" si="39"/>
        <v>0</v>
      </c>
      <c r="CQ13" s="102">
        <f t="shared" si="40"/>
        <v>0</v>
      </c>
      <c r="CR13" s="102">
        <f t="shared" si="41"/>
        <v>1.6719063732430982E-3</v>
      </c>
      <c r="CS13" s="102">
        <f t="shared" si="42"/>
        <v>1.2639292199636823E-3</v>
      </c>
      <c r="CT13" s="102">
        <f t="shared" si="43"/>
        <v>0</v>
      </c>
      <c r="CU13" s="102">
        <f t="shared" si="44"/>
        <v>5.4396953770588844E-4</v>
      </c>
      <c r="CV13" s="30">
        <f t="shared" si="48"/>
        <v>12.261268706912102</v>
      </c>
      <c r="CW13" s="30">
        <f t="shared" si="49"/>
        <v>0.6257969435577414</v>
      </c>
      <c r="CX13" s="30">
        <f t="shared" si="45"/>
        <v>12.887065650469843</v>
      </c>
      <c r="CY13" s="2">
        <f t="shared" si="50"/>
        <v>24.070333235224926</v>
      </c>
      <c r="CZ13" s="18">
        <f t="shared" si="51"/>
        <v>1.4550324287153315E-2</v>
      </c>
      <c r="DA13" s="18">
        <f t="shared" si="52"/>
        <v>2.2398745670242467E-4</v>
      </c>
      <c r="DB13" s="18">
        <f t="shared" si="53"/>
        <v>0</v>
      </c>
      <c r="DC13" s="18">
        <f t="shared" si="54"/>
        <v>0</v>
      </c>
      <c r="DD13" s="18">
        <f t="shared" si="55"/>
        <v>0</v>
      </c>
      <c r="DE13" s="18">
        <f t="shared" si="56"/>
        <v>2.2768077671499454E-2</v>
      </c>
      <c r="DF13" s="18">
        <f t="shared" si="57"/>
        <v>3.2889275339022056E-2</v>
      </c>
      <c r="DG13" s="18">
        <f t="shared" si="58"/>
        <v>3.6337946155165918E-2</v>
      </c>
      <c r="DH13" s="18">
        <f t="shared" si="59"/>
        <v>7.1517376398018478E-3</v>
      </c>
      <c r="DI13" s="18">
        <f t="shared" si="60"/>
        <v>0</v>
      </c>
      <c r="DJ13" s="18">
        <f t="shared" si="61"/>
        <v>0</v>
      </c>
      <c r="DK13" s="18">
        <f t="shared" si="62"/>
        <v>0</v>
      </c>
      <c r="DL13" s="18">
        <f t="shared" si="63"/>
        <v>0</v>
      </c>
      <c r="DM13" s="18">
        <f t="shared" si="64"/>
        <v>8.5014094069009189E-4</v>
      </c>
      <c r="DN13" s="18">
        <f t="shared" si="65"/>
        <v>1.7511135443866623E-4</v>
      </c>
      <c r="DO13" s="18">
        <f t="shared" si="66"/>
        <v>0</v>
      </c>
      <c r="DP13" s="18">
        <f t="shared" si="67"/>
        <v>0</v>
      </c>
      <c r="DQ13" s="18">
        <f t="shared" si="68"/>
        <v>5.8961835497356825E-3</v>
      </c>
      <c r="DR13" s="18">
        <f t="shared" si="69"/>
        <v>0</v>
      </c>
      <c r="DS13" s="18">
        <f t="shared" si="70"/>
        <v>0</v>
      </c>
      <c r="DT13" s="18">
        <f t="shared" si="71"/>
        <v>0</v>
      </c>
      <c r="DU13" s="18">
        <f t="shared" si="72"/>
        <v>0</v>
      </c>
      <c r="DV13" s="18">
        <f t="shared" si="73"/>
        <v>4.4709612329161044E-4</v>
      </c>
      <c r="DW13" s="18">
        <f t="shared" si="74"/>
        <v>1.7998992056444837E-4</v>
      </c>
      <c r="DX13" s="18">
        <f t="shared" si="75"/>
        <v>0</v>
      </c>
      <c r="DY13" s="18">
        <f t="shared" si="76"/>
        <v>2.0984624421822954E-4</v>
      </c>
      <c r="DZ13" s="18">
        <f t="shared" si="77"/>
        <v>0</v>
      </c>
      <c r="EA13" s="18">
        <f t="shared" si="78"/>
        <v>4.0797715327941635E-4</v>
      </c>
      <c r="EB13" s="18">
        <f t="shared" si="79"/>
        <v>3.5997984112889675E-4</v>
      </c>
      <c r="EC13" s="18">
        <f t="shared" si="80"/>
        <v>4.0797715327941635E-4</v>
      </c>
      <c r="ED13" s="18">
        <f t="shared" si="81"/>
        <v>0</v>
      </c>
      <c r="EE13" s="18">
        <f t="shared" si="82"/>
        <v>0</v>
      </c>
      <c r="EF13" s="18">
        <f t="shared" si="83"/>
        <v>0</v>
      </c>
      <c r="EG13" s="18">
        <f t="shared" si="84"/>
        <v>0</v>
      </c>
      <c r="EH13" s="18">
        <f t="shared" si="85"/>
        <v>1.6719063732430982E-3</v>
      </c>
      <c r="EI13" s="18">
        <f t="shared" si="86"/>
        <v>1.254571064643259E-3</v>
      </c>
      <c r="EJ13" s="18">
        <f t="shared" si="87"/>
        <v>0</v>
      </c>
      <c r="EK13" s="18">
        <f t="shared" si="88"/>
        <v>5.2982832522169331E-4</v>
      </c>
      <c r="EL13" s="2">
        <f t="shared" si="89"/>
        <v>12.252957160987533</v>
      </c>
      <c r="EM13" s="2">
        <f t="shared" si="90"/>
        <v>0.6257969435577414</v>
      </c>
      <c r="EN13" s="103">
        <f t="shared" si="97"/>
        <v>13.005066061138354</v>
      </c>
      <c r="EO13" s="103">
        <f t="shared" si="93"/>
        <v>24.070333235224926</v>
      </c>
      <c r="EP13" s="113">
        <f t="shared" si="46"/>
        <v>4.279564446695365E-2</v>
      </c>
      <c r="EQ13" s="17">
        <f t="shared" si="47"/>
        <v>0.95720435553304628</v>
      </c>
      <c r="HH13">
        <f t="shared" si="94"/>
        <v>0.50921741436711743</v>
      </c>
      <c r="HI13" s="36">
        <f t="shared" si="91"/>
        <v>0.57008947618516648</v>
      </c>
      <c r="HJ13">
        <f t="shared" si="95"/>
        <v>2.5989700506088297E-2</v>
      </c>
      <c r="HK13">
        <f t="shared" si="92"/>
        <v>2.5488127374416164E-2</v>
      </c>
      <c r="HM13" s="36">
        <f t="shared" si="96"/>
        <v>0.53520711487320582</v>
      </c>
    </row>
    <row r="14" spans="1:221">
      <c r="A14" s="20">
        <f>'Phase CEMS PM Concentrations'!A14</f>
        <v>44326</v>
      </c>
      <c r="B14" s="20" t="str">
        <f>'Phase CEMS PM Concentrations'!B14</f>
        <v>BK Princess</v>
      </c>
      <c r="C14" s="20" t="str">
        <f>'Phase CEMS PM Concentrations'!C14</f>
        <v>Wet spruce</v>
      </c>
      <c r="D14" s="20" t="str">
        <f>'Phase CEMS PM Concentrations'!D14</f>
        <v>High</v>
      </c>
      <c r="E14" s="21" t="s">
        <v>452</v>
      </c>
      <c r="F14" s="48">
        <f>IF(ISBLANK('Phase CEMS PM Concentrations'!E14),"",'Phase CEMS PM Concentrations'!E14)</f>
        <v>44326.411805555559</v>
      </c>
      <c r="G14" s="48">
        <f>IF(ISBLANK('Phase CEMS PM Concentrations'!F14),"",'Phase CEMS PM Concentrations'!F14)</f>
        <v>44326.559374999997</v>
      </c>
      <c r="H14" s="9" t="str">
        <f>'[1]XRF Masses'!B40</f>
        <v>TF4721015</v>
      </c>
      <c r="I14" s="64" t="s">
        <v>453</v>
      </c>
      <c r="J14">
        <f>'[1]Teflon Filter Masses'!$R19</f>
        <v>1.7391000000000076</v>
      </c>
      <c r="K14" s="9">
        <f>'[1]XRF Masses'!J40</f>
        <v>0</v>
      </c>
      <c r="L14" s="9">
        <f>'[1]XRF Masses'!K40</f>
        <v>0</v>
      </c>
      <c r="M14" s="9">
        <f>'[1]XRF Masses'!L40</f>
        <v>0</v>
      </c>
      <c r="N14" s="9">
        <f>'[1]XRF Masses'!M40</f>
        <v>0.1028</v>
      </c>
      <c r="O14" s="9">
        <f>'[1]XRF Masses'!N40</f>
        <v>2.7099999999999999E-2</v>
      </c>
      <c r="P14" s="9">
        <f>'[1]XRF Masses'!O40</f>
        <v>1.137</v>
      </c>
      <c r="Q14" s="9">
        <f>'[1]XRF Masses'!P40</f>
        <v>1.2150000000000001</v>
      </c>
      <c r="R14" s="9">
        <f>'[1]XRF Masses'!Q40</f>
        <v>3.5739999999999998</v>
      </c>
      <c r="S14" s="9">
        <f>'[1]XRF Masses'!R40</f>
        <v>0.92889999999999995</v>
      </c>
      <c r="T14" s="9">
        <f>'[1]XRF Masses'!S40</f>
        <v>0</v>
      </c>
      <c r="U14" s="9">
        <f>'[1]XRF Masses'!T40</f>
        <v>0</v>
      </c>
      <c r="V14" s="9">
        <f>'[1]XRF Masses'!U40</f>
        <v>0.14119999999999999</v>
      </c>
      <c r="W14" s="9">
        <f>'[1]XRF Masses'!V40</f>
        <v>3.39E-2</v>
      </c>
      <c r="X14" s="9">
        <f>'[1]XRF Masses'!W40</f>
        <v>1.1299999999999999E-2</v>
      </c>
      <c r="Y14" s="9">
        <f>'[1]XRF Masses'!X40</f>
        <v>0</v>
      </c>
      <c r="Z14" s="9">
        <f>'[1]XRF Masses'!Y40</f>
        <v>6.7999999999999996E-3</v>
      </c>
      <c r="AA14" s="9">
        <f>'[1]XRF Masses'!Z40</f>
        <v>0</v>
      </c>
      <c r="AB14" s="9">
        <f>'[1]XRF Masses'!AA40</f>
        <v>0.24970000000000001</v>
      </c>
      <c r="AC14" s="9">
        <f>'[1]XRF Masses'!AB40</f>
        <v>0</v>
      </c>
      <c r="AD14" s="9">
        <f>'[1]XRF Masses'!AC40</f>
        <v>0</v>
      </c>
      <c r="AE14" s="9">
        <f>'[1]XRF Masses'!AD40</f>
        <v>0</v>
      </c>
      <c r="AF14" s="9">
        <f>'[1]XRF Masses'!AE40</f>
        <v>0</v>
      </c>
      <c r="AG14" s="9">
        <f>'[1]XRF Masses'!AF40</f>
        <v>4.4999999999999997E-3</v>
      </c>
      <c r="AH14" s="9">
        <f>'[1]XRF Masses'!AG40</f>
        <v>1.3599999999999999E-2</v>
      </c>
      <c r="AI14" s="9">
        <f>'[1]XRF Masses'!AH40</f>
        <v>4.4999999999999997E-3</v>
      </c>
      <c r="AJ14" s="9">
        <f>'[1]XRF Masses'!AI40</f>
        <v>0</v>
      </c>
      <c r="AK14" s="9">
        <f>'[1]XRF Masses'!AJ40</f>
        <v>0</v>
      </c>
      <c r="AL14" s="9">
        <f>'[1]XRF Masses'!AK40</f>
        <v>0</v>
      </c>
      <c r="AM14" s="9">
        <f>'[1]XRF Masses'!AL40</f>
        <v>3.8399999999999997E-2</v>
      </c>
      <c r="AN14" s="9">
        <f>'[1]XRF Masses'!AM40</f>
        <v>0</v>
      </c>
      <c r="AO14" s="9">
        <f>'[1]XRF Masses'!AN40</f>
        <v>1.9199999999999998E-2</v>
      </c>
      <c r="AP14" s="9">
        <f>'[1]XRF Masses'!AO40</f>
        <v>0</v>
      </c>
      <c r="AQ14" s="9">
        <f>'[1]XRF Masses'!AP40</f>
        <v>0</v>
      </c>
      <c r="AR14" s="9">
        <f>'[1]XRF Masses'!AQ40</f>
        <v>0</v>
      </c>
      <c r="AS14" s="9">
        <f>'[1]XRF Masses'!AR40</f>
        <v>0</v>
      </c>
      <c r="AT14" s="9">
        <f>'[1]XRF Masses'!AS40</f>
        <v>0</v>
      </c>
      <c r="AU14" s="9">
        <f>'[1]XRF Masses'!AT40</f>
        <v>0</v>
      </c>
      <c r="AV14" s="9">
        <f>'[1]XRF Masses'!AU40</f>
        <v>0</v>
      </c>
      <c r="AW14" s="9">
        <f>'[1]Quartz Filter Masses'!C19</f>
        <v>104.45</v>
      </c>
      <c r="AX14" s="9">
        <f>'[1]Quartz Filter Masses'!D19</f>
        <v>1.27</v>
      </c>
      <c r="AY14">
        <f>'[1]Quartz Back Filter Masses'!C17</f>
        <v>10.64</v>
      </c>
      <c r="AZ14">
        <f>'[1]Quartz Back Filter Masses'!D17</f>
        <v>0.14000000000000001</v>
      </c>
      <c r="BA14" s="77">
        <f t="shared" si="0"/>
        <v>1.7332999999999856</v>
      </c>
      <c r="BB14" s="77">
        <f t="shared" si="1"/>
        <v>0.94568976040596797</v>
      </c>
      <c r="BC14" s="77">
        <f t="shared" si="2"/>
        <v>1.1530587516470616E-2</v>
      </c>
      <c r="BD14" s="92">
        <f t="shared" si="3"/>
        <v>9.4423708796294803E-2</v>
      </c>
      <c r="BE14" s="93">
        <f t="shared" si="4"/>
        <v>1.2710883876424302E-3</v>
      </c>
      <c r="BF14" s="82">
        <v>0.20355000000000001</v>
      </c>
      <c r="BG14" s="83">
        <v>0.199742</v>
      </c>
      <c r="BH14" s="50">
        <f t="shared" si="5"/>
        <v>1.8884579907362437E-2</v>
      </c>
      <c r="BI14" s="30">
        <f t="shared" si="6"/>
        <v>8.5153524932448317</v>
      </c>
      <c r="BJ14" s="102">
        <f t="shared" si="7"/>
        <v>0</v>
      </c>
      <c r="BK14" s="102">
        <f t="shared" si="8"/>
        <v>0</v>
      </c>
      <c r="BL14" s="102">
        <f t="shared" si="9"/>
        <v>0</v>
      </c>
      <c r="BM14" s="102">
        <f t="shared" si="10"/>
        <v>5.0503561778432818E-4</v>
      </c>
      <c r="BN14" s="102">
        <f t="shared" si="11"/>
        <v>1.3313682141979856E-4</v>
      </c>
      <c r="BO14" s="102">
        <f t="shared" si="12"/>
        <v>5.5858511422254972E-3</v>
      </c>
      <c r="BP14" s="102">
        <f t="shared" si="13"/>
        <v>5.9690493736182758E-3</v>
      </c>
      <c r="BQ14" s="102">
        <f t="shared" si="14"/>
        <v>1.755833947433063E-2</v>
      </c>
      <c r="BR14" s="102">
        <f t="shared" si="15"/>
        <v>4.5634979120609187E-3</v>
      </c>
      <c r="BS14" s="102">
        <f t="shared" si="16"/>
        <v>0</v>
      </c>
      <c r="BT14" s="102">
        <f t="shared" si="17"/>
        <v>0</v>
      </c>
      <c r="BU14" s="102">
        <f t="shared" si="18"/>
        <v>6.9368705477769585E-4</v>
      </c>
      <c r="BV14" s="102">
        <f t="shared" si="19"/>
        <v>1.6654384672070744E-4</v>
      </c>
      <c r="BW14" s="102">
        <f t="shared" si="20"/>
        <v>5.5514615573569139E-5</v>
      </c>
      <c r="BX14" s="102">
        <f t="shared" si="21"/>
        <v>0</v>
      </c>
      <c r="BY14" s="102">
        <f t="shared" si="22"/>
        <v>3.340702530090887E-5</v>
      </c>
      <c r="BZ14" s="102">
        <f t="shared" si="23"/>
        <v>0</v>
      </c>
      <c r="CA14" s="102">
        <f t="shared" si="24"/>
        <v>1.226725620240727E-3</v>
      </c>
      <c r="CB14" s="102">
        <f t="shared" si="25"/>
        <v>0</v>
      </c>
      <c r="CC14" s="102">
        <f t="shared" si="26"/>
        <v>0</v>
      </c>
      <c r="CD14" s="102">
        <f t="shared" si="27"/>
        <v>0</v>
      </c>
      <c r="CE14" s="102">
        <f t="shared" si="28"/>
        <v>0</v>
      </c>
      <c r="CF14" s="102">
        <f t="shared" si="29"/>
        <v>2.2107590272660276E-5</v>
      </c>
      <c r="CG14" s="102">
        <f t="shared" si="30"/>
        <v>6.681405060181774E-5</v>
      </c>
      <c r="CH14" s="102">
        <f t="shared" si="31"/>
        <v>2.2107590272660276E-5</v>
      </c>
      <c r="CI14" s="102">
        <f t="shared" si="32"/>
        <v>0</v>
      </c>
      <c r="CJ14" s="102">
        <f t="shared" si="33"/>
        <v>0</v>
      </c>
      <c r="CK14" s="102">
        <f t="shared" si="34"/>
        <v>0</v>
      </c>
      <c r="CL14" s="102">
        <f t="shared" si="35"/>
        <v>1.886514369933677E-4</v>
      </c>
      <c r="CM14" s="102">
        <f t="shared" si="36"/>
        <v>0</v>
      </c>
      <c r="CN14" s="102">
        <f t="shared" si="37"/>
        <v>9.432571849668385E-5</v>
      </c>
      <c r="CO14" s="102">
        <f t="shared" si="38"/>
        <v>0</v>
      </c>
      <c r="CP14" s="102">
        <f t="shared" si="39"/>
        <v>0</v>
      </c>
      <c r="CQ14" s="102">
        <f t="shared" si="40"/>
        <v>0</v>
      </c>
      <c r="CR14" s="102">
        <f t="shared" si="41"/>
        <v>0</v>
      </c>
      <c r="CS14" s="102">
        <f t="shared" si="42"/>
        <v>0</v>
      </c>
      <c r="CT14" s="102">
        <f t="shared" si="43"/>
        <v>0</v>
      </c>
      <c r="CU14" s="102">
        <f t="shared" si="44"/>
        <v>0</v>
      </c>
      <c r="CV14" s="30">
        <f t="shared" si="48"/>
        <v>4.2706717872945132</v>
      </c>
      <c r="CW14" s="30">
        <f t="shared" si="49"/>
        <v>5.1482805652824926E-2</v>
      </c>
      <c r="CX14" s="30">
        <f t="shared" si="45"/>
        <v>4.3221545929473386</v>
      </c>
      <c r="CY14" s="2">
        <f t="shared" si="50"/>
        <v>8.50703413296009</v>
      </c>
      <c r="CZ14" s="18">
        <f t="shared" si="51"/>
        <v>0</v>
      </c>
      <c r="DA14" s="18">
        <f t="shared" si="52"/>
        <v>0</v>
      </c>
      <c r="DB14" s="18">
        <f t="shared" si="53"/>
        <v>0</v>
      </c>
      <c r="DC14" s="18">
        <f t="shared" si="54"/>
        <v>2.6558208646862088E-4</v>
      </c>
      <c r="DD14" s="18">
        <f t="shared" si="55"/>
        <v>1.2125857346137243E-4</v>
      </c>
      <c r="DE14" s="18">
        <f t="shared" si="56"/>
        <v>5.4832095740023771E-3</v>
      </c>
      <c r="DF14" s="18">
        <f t="shared" si="57"/>
        <v>5.7281800007441949E-3</v>
      </c>
      <c r="DG14" s="18">
        <f t="shared" si="58"/>
        <v>1.7242338250549768E-2</v>
      </c>
      <c r="DH14" s="18">
        <f t="shared" si="59"/>
        <v>3.9396709834785965E-3</v>
      </c>
      <c r="DI14" s="18">
        <f t="shared" si="60"/>
        <v>0</v>
      </c>
      <c r="DJ14" s="18">
        <f t="shared" si="61"/>
        <v>0</v>
      </c>
      <c r="DK14" s="18">
        <f t="shared" si="62"/>
        <v>6.122362116342024E-4</v>
      </c>
      <c r="DL14" s="18">
        <f t="shared" si="63"/>
        <v>1.3303021855229087E-4</v>
      </c>
      <c r="DM14" s="18">
        <f t="shared" si="64"/>
        <v>0</v>
      </c>
      <c r="DN14" s="18">
        <f t="shared" si="65"/>
        <v>0</v>
      </c>
      <c r="DO14" s="18">
        <f t="shared" si="66"/>
        <v>9.4384178133704256E-6</v>
      </c>
      <c r="DP14" s="18">
        <f t="shared" si="67"/>
        <v>0</v>
      </c>
      <c r="DQ14" s="18">
        <f t="shared" si="68"/>
        <v>1.1552433592618093E-3</v>
      </c>
      <c r="DR14" s="18">
        <f t="shared" si="69"/>
        <v>0</v>
      </c>
      <c r="DS14" s="18">
        <f t="shared" si="70"/>
        <v>0</v>
      </c>
      <c r="DT14" s="18">
        <f t="shared" si="71"/>
        <v>0</v>
      </c>
      <c r="DU14" s="18">
        <f t="shared" si="72"/>
        <v>0</v>
      </c>
      <c r="DV14" s="18">
        <f t="shared" si="73"/>
        <v>1.7229024146878115E-5</v>
      </c>
      <c r="DW14" s="18">
        <f t="shared" si="74"/>
        <v>6.681405060181774E-5</v>
      </c>
      <c r="DX14" s="18">
        <f t="shared" si="75"/>
        <v>2.2107590272660276E-5</v>
      </c>
      <c r="DY14" s="18">
        <f t="shared" si="76"/>
        <v>0</v>
      </c>
      <c r="DZ14" s="18">
        <f t="shared" si="77"/>
        <v>0</v>
      </c>
      <c r="EA14" s="18">
        <f t="shared" si="78"/>
        <v>0</v>
      </c>
      <c r="EB14" s="18">
        <f t="shared" si="79"/>
        <v>1.886514369933677E-4</v>
      </c>
      <c r="EC14" s="18">
        <f t="shared" si="80"/>
        <v>0</v>
      </c>
      <c r="ED14" s="18">
        <f t="shared" si="81"/>
        <v>7.7896956934163055E-5</v>
      </c>
      <c r="EE14" s="18">
        <f t="shared" si="82"/>
        <v>0</v>
      </c>
      <c r="EF14" s="18">
        <f t="shared" si="83"/>
        <v>0</v>
      </c>
      <c r="EG14" s="18">
        <f t="shared" si="84"/>
        <v>0</v>
      </c>
      <c r="EH14" s="18">
        <f t="shared" si="85"/>
        <v>0</v>
      </c>
      <c r="EI14" s="18">
        <f t="shared" si="86"/>
        <v>0</v>
      </c>
      <c r="EJ14" s="18">
        <f t="shared" si="87"/>
        <v>0</v>
      </c>
      <c r="EK14" s="18">
        <f t="shared" si="88"/>
        <v>0</v>
      </c>
      <c r="EL14" s="2">
        <f t="shared" si="89"/>
        <v>4.2623602413699446</v>
      </c>
      <c r="EM14" s="2">
        <f t="shared" si="90"/>
        <v>5.1482805652824926E-2</v>
      </c>
      <c r="EN14" s="103">
        <f t="shared" si="97"/>
        <v>4.3489059337576847</v>
      </c>
      <c r="EO14" s="103">
        <f t="shared" si="93"/>
        <v>8.50703413296009</v>
      </c>
      <c r="EP14" s="113">
        <f t="shared" si="46"/>
        <v>1.2045907237029309E-2</v>
      </c>
      <c r="EQ14" s="17">
        <f t="shared" si="47"/>
        <v>0.98795409276297064</v>
      </c>
      <c r="HH14">
        <f t="shared" si="94"/>
        <v>0.5015261306777854</v>
      </c>
      <c r="HI14" s="36">
        <f t="shared" si="91"/>
        <v>0.54560073870996129</v>
      </c>
      <c r="HJ14">
        <f t="shared" si="95"/>
        <v>6.0458807423023142E-3</v>
      </c>
      <c r="HK14">
        <f t="shared" si="92"/>
        <v>6.6523899593092439E-3</v>
      </c>
      <c r="HM14" s="36">
        <f t="shared" si="96"/>
        <v>0.50757201142008779</v>
      </c>
    </row>
    <row r="15" spans="1:221">
      <c r="A15" s="20">
        <f>'Phase CEMS PM Concentrations'!A15</f>
        <v>44336</v>
      </c>
      <c r="B15" s="20" t="str">
        <f>'Phase CEMS PM Concentrations'!B15</f>
        <v>BK Princess</v>
      </c>
      <c r="C15" s="20" t="str">
        <f>'Phase CEMS PM Concentrations'!C15</f>
        <v>Wet birch</v>
      </c>
      <c r="D15" s="20" t="str">
        <f>'Phase CEMS PM Concentrations'!D15</f>
        <v>Startup</v>
      </c>
      <c r="E15" s="21" t="s">
        <v>454</v>
      </c>
      <c r="F15" s="48">
        <f>IF(ISBLANK('Phase CEMS PM Concentrations'!E15),"",'Phase CEMS PM Concentrations'!E15)</f>
        <v>44336.40347222222</v>
      </c>
      <c r="G15" s="48">
        <f>IF(ISBLANK('Phase CEMS PM Concentrations'!F15),"",'Phase CEMS PM Concentrations'!F15)</f>
        <v>44336.425000000003</v>
      </c>
      <c r="H15" s="9" t="str">
        <f>'[1]XRF Masses'!B41</f>
        <v>TF4721017</v>
      </c>
      <c r="I15" s="64" t="s">
        <v>455</v>
      </c>
      <c r="J15">
        <f>'[1]Teflon Filter Masses'!$R20</f>
        <v>0.19440000000000168</v>
      </c>
      <c r="K15" s="9">
        <f>'[1]XRF Masses'!J41</f>
        <v>0.47460000000000002</v>
      </c>
      <c r="L15" s="9">
        <f>'[1]XRF Masses'!K41</f>
        <v>0</v>
      </c>
      <c r="M15" s="9">
        <f>'[1]XRF Masses'!L41</f>
        <v>0</v>
      </c>
      <c r="N15" s="9">
        <f>'[1]XRF Masses'!M41</f>
        <v>0.29720000000000002</v>
      </c>
      <c r="O15" s="9">
        <f>'[1]XRF Masses'!N41</f>
        <v>2.0299999999999999E-2</v>
      </c>
      <c r="P15" s="9">
        <f>'[1]XRF Masses'!O41</f>
        <v>0.48020000000000002</v>
      </c>
      <c r="Q15" s="9">
        <f>'[1]XRF Masses'!P41</f>
        <v>0.67120000000000002</v>
      </c>
      <c r="R15" s="9">
        <f>'[1]XRF Masses'!Q41</f>
        <v>1.2250000000000001</v>
      </c>
      <c r="S15" s="9">
        <f>'[1]XRF Masses'!R41</f>
        <v>0.50619999999999998</v>
      </c>
      <c r="T15" s="9">
        <f>'[1]XRF Masses'!S41</f>
        <v>8.9999999999999993E-3</v>
      </c>
      <c r="U15" s="9">
        <f>'[1]XRF Masses'!T41</f>
        <v>0</v>
      </c>
      <c r="V15" s="9">
        <f>'[1]XRF Masses'!U41</f>
        <v>0</v>
      </c>
      <c r="W15" s="9">
        <f>'[1]XRF Masses'!V41</f>
        <v>3.3999999999999998E-3</v>
      </c>
      <c r="X15" s="9">
        <f>'[1]XRF Masses'!W41</f>
        <v>4.7500000000000001E-2</v>
      </c>
      <c r="Y15" s="9">
        <f>'[1]XRF Masses'!X41</f>
        <v>2.3E-3</v>
      </c>
      <c r="Z15" s="9">
        <f>'[1]XRF Masses'!Y41</f>
        <v>0</v>
      </c>
      <c r="AA15" s="9">
        <f>'[1]XRF Masses'!Z41</f>
        <v>0</v>
      </c>
      <c r="AB15" s="9">
        <f>'[1]XRF Masses'!AA41</f>
        <v>0.19439999999999999</v>
      </c>
      <c r="AC15" s="9">
        <f>'[1]XRF Masses'!AB41</f>
        <v>0</v>
      </c>
      <c r="AD15" s="9">
        <f>'[1]XRF Masses'!AC41</f>
        <v>0</v>
      </c>
      <c r="AE15" s="9">
        <f>'[1]XRF Masses'!AD41</f>
        <v>0</v>
      </c>
      <c r="AF15" s="9">
        <f>'[1]XRF Masses'!AE41</f>
        <v>0</v>
      </c>
      <c r="AG15" s="9">
        <f>'[1]XRF Masses'!AF41</f>
        <v>0</v>
      </c>
      <c r="AH15" s="9">
        <f>'[1]XRF Masses'!AG41</f>
        <v>0</v>
      </c>
      <c r="AI15" s="9">
        <f>'[1]XRF Masses'!AH41</f>
        <v>0</v>
      </c>
      <c r="AJ15" s="9">
        <f>'[1]XRF Masses'!AI41</f>
        <v>0</v>
      </c>
      <c r="AK15" s="9">
        <f>'[1]XRF Masses'!AJ41</f>
        <v>1.0200000000000001E-2</v>
      </c>
      <c r="AL15" s="9">
        <f>'[1]XRF Masses'!AK41</f>
        <v>0</v>
      </c>
      <c r="AM15" s="9">
        <f>'[1]XRF Masses'!AL41</f>
        <v>1.1299999999999999E-2</v>
      </c>
      <c r="AN15" s="9">
        <f>'[1]XRF Masses'!AM41</f>
        <v>0</v>
      </c>
      <c r="AO15" s="9">
        <f>'[1]XRF Masses'!AN41</f>
        <v>2.8199999999999999E-2</v>
      </c>
      <c r="AP15" s="9">
        <f>'[1]XRF Masses'!AO41</f>
        <v>0</v>
      </c>
      <c r="AQ15" s="9">
        <f>'[1]XRF Masses'!AP41</f>
        <v>0.12659999999999999</v>
      </c>
      <c r="AR15" s="9">
        <f>'[1]XRF Masses'!AQ41</f>
        <v>0</v>
      </c>
      <c r="AS15" s="9">
        <f>'[1]XRF Masses'!AR41</f>
        <v>0</v>
      </c>
      <c r="AT15" s="9">
        <f>'[1]XRF Masses'!AS41</f>
        <v>0</v>
      </c>
      <c r="AU15" s="9">
        <f>'[1]XRF Masses'!AT41</f>
        <v>6.7999999999999996E-3</v>
      </c>
      <c r="AV15" s="9">
        <f>'[1]XRF Masses'!AU41</f>
        <v>3.3999999999999998E-3</v>
      </c>
      <c r="AW15" s="9">
        <f>'[1]Quartz Filter Masses'!C20</f>
        <v>31.62</v>
      </c>
      <c r="AX15" s="9">
        <f>'[1]Quartz Filter Masses'!D20</f>
        <v>2.0299999999999998</v>
      </c>
      <c r="AY15">
        <f>'[1]Quartz Back Filter Masses'!C18</f>
        <v>4.78</v>
      </c>
      <c r="AZ15">
        <f>'[1]Quartz Back Filter Masses'!D18</f>
        <v>0.09</v>
      </c>
      <c r="BA15" s="77">
        <f t="shared" si="0"/>
        <v>0.18859999999997967</v>
      </c>
      <c r="BB15" s="77">
        <f t="shared" si="1"/>
        <v>0.28445142274883811</v>
      </c>
      <c r="BC15" s="77">
        <f t="shared" si="2"/>
        <v>1.8430781620815236E-2</v>
      </c>
      <c r="BD15" s="92">
        <f t="shared" si="3"/>
        <v>4.1219580570690237E-2</v>
      </c>
      <c r="BE15" s="93">
        <f t="shared" si="4"/>
        <v>8.1712824919870494E-4</v>
      </c>
      <c r="BF15" s="82">
        <v>3.1196999999999999E-2</v>
      </c>
      <c r="BG15" s="83">
        <v>3.0612799999999999E-2</v>
      </c>
      <c r="BH15" s="50">
        <f t="shared" si="5"/>
        <v>1.89031512802177E-2</v>
      </c>
      <c r="BI15" s="30">
        <f t="shared" si="6"/>
        <v>6.0454530884373394</v>
      </c>
      <c r="BJ15" s="102">
        <f t="shared" si="7"/>
        <v>1.5213001250120206E-2</v>
      </c>
      <c r="BK15" s="102">
        <f t="shared" si="8"/>
        <v>0</v>
      </c>
      <c r="BL15" s="102">
        <f t="shared" si="9"/>
        <v>0</v>
      </c>
      <c r="BM15" s="102">
        <f t="shared" si="10"/>
        <v>9.5265570407410977E-3</v>
      </c>
      <c r="BN15" s="102">
        <f t="shared" si="11"/>
        <v>6.5070359329422699E-4</v>
      </c>
      <c r="BO15" s="102">
        <f t="shared" si="12"/>
        <v>1.5392505689649647E-2</v>
      </c>
      <c r="BP15" s="102">
        <f t="shared" si="13"/>
        <v>2.1514889252171685E-2</v>
      </c>
      <c r="BQ15" s="102">
        <f t="shared" si="14"/>
        <v>3.926659614706543E-2</v>
      </c>
      <c r="BR15" s="102">
        <f t="shared" si="15"/>
        <v>1.6225919158893484E-2</v>
      </c>
      <c r="BS15" s="102">
        <f t="shared" si="16"/>
        <v>2.8848927781517452E-4</v>
      </c>
      <c r="BT15" s="102">
        <f t="shared" si="17"/>
        <v>0</v>
      </c>
      <c r="BU15" s="102">
        <f t="shared" si="18"/>
        <v>0</v>
      </c>
      <c r="BV15" s="102">
        <f t="shared" si="19"/>
        <v>1.089848382857326E-4</v>
      </c>
      <c r="BW15" s="102">
        <f t="shared" si="20"/>
        <v>1.5225822995800879E-3</v>
      </c>
      <c r="BX15" s="102">
        <f t="shared" si="21"/>
        <v>7.3725037663877933E-5</v>
      </c>
      <c r="BY15" s="102">
        <f t="shared" si="22"/>
        <v>0</v>
      </c>
      <c r="BZ15" s="102">
        <f t="shared" si="23"/>
        <v>0</v>
      </c>
      <c r="CA15" s="102">
        <f t="shared" si="24"/>
        <v>6.2313684008077699E-3</v>
      </c>
      <c r="CB15" s="102">
        <f t="shared" si="25"/>
        <v>0</v>
      </c>
      <c r="CC15" s="102">
        <f t="shared" si="26"/>
        <v>0</v>
      </c>
      <c r="CD15" s="102">
        <f t="shared" si="27"/>
        <v>0</v>
      </c>
      <c r="CE15" s="102">
        <f t="shared" si="28"/>
        <v>0</v>
      </c>
      <c r="CF15" s="102">
        <f t="shared" si="29"/>
        <v>0</v>
      </c>
      <c r="CG15" s="102">
        <f t="shared" si="30"/>
        <v>0</v>
      </c>
      <c r="CH15" s="102">
        <f t="shared" si="31"/>
        <v>0</v>
      </c>
      <c r="CI15" s="102">
        <f t="shared" si="32"/>
        <v>0</v>
      </c>
      <c r="CJ15" s="102">
        <f t="shared" si="33"/>
        <v>3.2695451485719785E-4</v>
      </c>
      <c r="CK15" s="102">
        <f t="shared" si="34"/>
        <v>0</v>
      </c>
      <c r="CL15" s="102">
        <f t="shared" si="35"/>
        <v>3.6221431547905247E-4</v>
      </c>
      <c r="CM15" s="102">
        <f t="shared" si="36"/>
        <v>0</v>
      </c>
      <c r="CN15" s="102">
        <f t="shared" si="37"/>
        <v>9.0393307048754689E-4</v>
      </c>
      <c r="CO15" s="102">
        <f t="shared" si="38"/>
        <v>0</v>
      </c>
      <c r="CP15" s="102">
        <f t="shared" si="39"/>
        <v>4.058082507933455E-3</v>
      </c>
      <c r="CQ15" s="102">
        <f t="shared" si="40"/>
        <v>0</v>
      </c>
      <c r="CR15" s="102">
        <f t="shared" si="41"/>
        <v>0</v>
      </c>
      <c r="CS15" s="102">
        <f t="shared" si="42"/>
        <v>0</v>
      </c>
      <c r="CT15" s="102">
        <f t="shared" si="43"/>
        <v>2.1796967657146521E-4</v>
      </c>
      <c r="CU15" s="102">
        <f t="shared" si="44"/>
        <v>1.089848382857326E-4</v>
      </c>
      <c r="CV15" s="30">
        <f t="shared" si="48"/>
        <v>7.9706438686165262</v>
      </c>
      <c r="CW15" s="30">
        <f t="shared" si="49"/>
        <v>0.57586875573607854</v>
      </c>
      <c r="CX15" s="30">
        <f t="shared" si="45"/>
        <v>8.5465126243526051</v>
      </c>
      <c r="CY15" s="2">
        <f t="shared" si="50"/>
        <v>6.0371347281525969</v>
      </c>
      <c r="CZ15" s="18">
        <f t="shared" si="51"/>
        <v>1.4036206255953275E-2</v>
      </c>
      <c r="DA15" s="18">
        <f t="shared" si="52"/>
        <v>0</v>
      </c>
      <c r="DB15" s="18">
        <f t="shared" si="53"/>
        <v>0</v>
      </c>
      <c r="DC15" s="18">
        <f t="shared" si="54"/>
        <v>9.2871035094253904E-3</v>
      </c>
      <c r="DD15" s="18">
        <f t="shared" si="55"/>
        <v>6.3882534533580085E-4</v>
      </c>
      <c r="DE15" s="18">
        <f t="shared" si="56"/>
        <v>1.5289864121426527E-2</v>
      </c>
      <c r="DF15" s="18">
        <f t="shared" si="57"/>
        <v>2.1274019879297605E-2</v>
      </c>
      <c r="DG15" s="18">
        <f t="shared" si="58"/>
        <v>3.8950594923284565E-2</v>
      </c>
      <c r="DH15" s="18">
        <f t="shared" si="59"/>
        <v>1.5602092230311162E-2</v>
      </c>
      <c r="DI15" s="18">
        <f t="shared" si="60"/>
        <v>2.8370622065140264E-4</v>
      </c>
      <c r="DJ15" s="18">
        <f t="shared" si="61"/>
        <v>0</v>
      </c>
      <c r="DK15" s="18">
        <f t="shared" si="62"/>
        <v>0</v>
      </c>
      <c r="DL15" s="18">
        <f t="shared" si="63"/>
        <v>7.5471210117316012E-5</v>
      </c>
      <c r="DM15" s="18">
        <f t="shared" si="64"/>
        <v>1.2447864047329699E-3</v>
      </c>
      <c r="DN15" s="18">
        <f t="shared" si="65"/>
        <v>6.8846471538095772E-5</v>
      </c>
      <c r="DO15" s="18">
        <f t="shared" si="66"/>
        <v>0</v>
      </c>
      <c r="DP15" s="18">
        <f t="shared" si="67"/>
        <v>0</v>
      </c>
      <c r="DQ15" s="18">
        <f t="shared" si="68"/>
        <v>6.1598861398288523E-3</v>
      </c>
      <c r="DR15" s="18">
        <f t="shared" si="69"/>
        <v>0</v>
      </c>
      <c r="DS15" s="18">
        <f t="shared" si="70"/>
        <v>0</v>
      </c>
      <c r="DT15" s="18">
        <f t="shared" si="71"/>
        <v>0</v>
      </c>
      <c r="DU15" s="18">
        <f t="shared" si="72"/>
        <v>0</v>
      </c>
      <c r="DV15" s="18">
        <f t="shared" si="73"/>
        <v>0</v>
      </c>
      <c r="DW15" s="18">
        <f t="shared" si="74"/>
        <v>0</v>
      </c>
      <c r="DX15" s="18">
        <f t="shared" si="75"/>
        <v>0</v>
      </c>
      <c r="DY15" s="18">
        <f t="shared" si="76"/>
        <v>0</v>
      </c>
      <c r="DZ15" s="18">
        <f t="shared" si="77"/>
        <v>3.2695451485719785E-4</v>
      </c>
      <c r="EA15" s="18">
        <f t="shared" si="78"/>
        <v>0</v>
      </c>
      <c r="EB15" s="18">
        <f t="shared" si="79"/>
        <v>3.6221431547905247E-4</v>
      </c>
      <c r="EC15" s="18">
        <f t="shared" si="80"/>
        <v>0</v>
      </c>
      <c r="ED15" s="18">
        <f t="shared" si="81"/>
        <v>8.8750430892502608E-4</v>
      </c>
      <c r="EE15" s="18">
        <f t="shared" si="82"/>
        <v>0</v>
      </c>
      <c r="EF15" s="18">
        <f t="shared" si="83"/>
        <v>4.058082507933455E-3</v>
      </c>
      <c r="EG15" s="18">
        <f t="shared" si="84"/>
        <v>0</v>
      </c>
      <c r="EH15" s="18">
        <f t="shared" si="85"/>
        <v>0</v>
      </c>
      <c r="EI15" s="18">
        <f t="shared" si="86"/>
        <v>0</v>
      </c>
      <c r="EJ15" s="18">
        <f t="shared" si="87"/>
        <v>2.1796967657146521E-4</v>
      </c>
      <c r="EK15" s="18">
        <f t="shared" si="88"/>
        <v>9.4843625801537489E-5</v>
      </c>
      <c r="EL15" s="2">
        <f t="shared" si="89"/>
        <v>7.9623323226919576</v>
      </c>
      <c r="EM15" s="2">
        <f t="shared" si="90"/>
        <v>0.57586875573607854</v>
      </c>
      <c r="EN15" s="103">
        <f t="shared" si="97"/>
        <v>8.667060050089507</v>
      </c>
      <c r="EO15" s="103">
        <f t="shared" si="93"/>
        <v>6.0371347281525969</v>
      </c>
      <c r="EP15" s="113">
        <f t="shared" si="46"/>
        <v>6.0851318944844121E-2</v>
      </c>
      <c r="EQ15" s="17">
        <f t="shared" si="47"/>
        <v>0.93914868105515592</v>
      </c>
      <c r="ER15" s="111" t="s">
        <v>456</v>
      </c>
      <c r="HH15">
        <f t="shared" si="94"/>
        <v>1.3184526870056021</v>
      </c>
      <c r="HI15" s="36">
        <f t="shared" si="91"/>
        <v>1.5082259954871091</v>
      </c>
      <c r="HJ15">
        <f t="shared" si="95"/>
        <v>9.5256508869036999E-2</v>
      </c>
      <c r="HK15">
        <f t="shared" si="92"/>
        <v>9.7724186748765762E-2</v>
      </c>
      <c r="HM15" s="36">
        <f t="shared" si="96"/>
        <v>1.4137091958746393</v>
      </c>
    </row>
    <row r="16" spans="1:221">
      <c r="A16" s="20">
        <f>'Phase CEMS PM Concentrations'!A16</f>
        <v>44336</v>
      </c>
      <c r="B16" s="20" t="str">
        <f>'Phase CEMS PM Concentrations'!B16</f>
        <v>BK Princess</v>
      </c>
      <c r="C16" s="20" t="str">
        <f>'Phase CEMS PM Concentrations'!C16</f>
        <v>Wet birch</v>
      </c>
      <c r="D16" s="20" t="str">
        <f>'Phase CEMS PM Concentrations'!D16</f>
        <v>High</v>
      </c>
      <c r="E16" s="21" t="s">
        <v>457</v>
      </c>
      <c r="F16" s="48">
        <f>IF(ISBLANK('Phase CEMS PM Concentrations'!E16),"",'Phase CEMS PM Concentrations'!E16)</f>
        <v>44336.426388888889</v>
      </c>
      <c r="G16" s="48">
        <f>IF(ISBLANK('Phase CEMS PM Concentrations'!F16),"",'Phase CEMS PM Concentrations'!F16)</f>
        <v>44336.568055555559</v>
      </c>
      <c r="H16" s="9" t="str">
        <f>'[1]XRF Masses'!B42</f>
        <v>TF4721018</v>
      </c>
      <c r="I16" s="64" t="s">
        <v>458</v>
      </c>
      <c r="J16">
        <f>'[1]Teflon Filter Masses'!$R21</f>
        <v>0.5595000000000141</v>
      </c>
      <c r="K16" s="9">
        <f>'[1]XRF Masses'!J42</f>
        <v>0.41470000000000001</v>
      </c>
      <c r="L16" s="9">
        <f>'[1]XRF Masses'!K42</f>
        <v>0</v>
      </c>
      <c r="M16" s="9">
        <f>'[1]XRF Masses'!L42</f>
        <v>0</v>
      </c>
      <c r="N16" s="9">
        <f>'[1]XRF Masses'!M42</f>
        <v>9.3799999999999994E-2</v>
      </c>
      <c r="O16" s="9">
        <f>'[1]XRF Masses'!N42</f>
        <v>0</v>
      </c>
      <c r="P16" s="9">
        <f>'[1]XRF Masses'!O42</f>
        <v>1.609</v>
      </c>
      <c r="Q16" s="9">
        <f>'[1]XRF Masses'!P42</f>
        <v>1.681</v>
      </c>
      <c r="R16" s="9">
        <f>'[1]XRF Masses'!Q42</f>
        <v>3.605</v>
      </c>
      <c r="S16" s="9">
        <f>'[1]XRF Masses'!R42</f>
        <v>0.31080000000000002</v>
      </c>
      <c r="T16" s="9">
        <f>'[1]XRF Masses'!S42</f>
        <v>0</v>
      </c>
      <c r="U16" s="9">
        <f>'[1]XRF Masses'!T42</f>
        <v>0</v>
      </c>
      <c r="V16" s="9">
        <f>'[1]XRF Masses'!U42</f>
        <v>0.13900000000000001</v>
      </c>
      <c r="W16" s="9">
        <f>'[1]XRF Masses'!V42</f>
        <v>1.0200000000000001E-2</v>
      </c>
      <c r="X16" s="9">
        <f>'[1]XRF Masses'!W42</f>
        <v>0.1288</v>
      </c>
      <c r="Y16" s="9">
        <f>'[1]XRF Masses'!X42</f>
        <v>0</v>
      </c>
      <c r="Z16" s="9">
        <f>'[1]XRF Masses'!Y42</f>
        <v>0</v>
      </c>
      <c r="AA16" s="9">
        <f>'[1]XRF Masses'!Z42</f>
        <v>3.3999999999999998E-3</v>
      </c>
      <c r="AB16" s="9">
        <f>'[1]XRF Masses'!AA42</f>
        <v>0.81130000000000002</v>
      </c>
      <c r="AC16" s="9">
        <f>'[1]XRF Masses'!AB42</f>
        <v>3.3999999999999998E-3</v>
      </c>
      <c r="AD16" s="9">
        <f>'[1]XRF Masses'!AC42</f>
        <v>0</v>
      </c>
      <c r="AE16" s="9">
        <f>'[1]XRF Masses'!AD42</f>
        <v>0</v>
      </c>
      <c r="AF16" s="9">
        <f>'[1]XRF Masses'!AE42</f>
        <v>2.3E-3</v>
      </c>
      <c r="AG16" s="9">
        <f>'[1]XRF Masses'!AF42</f>
        <v>2.3E-3</v>
      </c>
      <c r="AH16" s="9">
        <f>'[1]XRF Masses'!AG42</f>
        <v>1.47E-2</v>
      </c>
      <c r="AI16" s="9">
        <f>'[1]XRF Masses'!AH42</f>
        <v>0</v>
      </c>
      <c r="AJ16" s="9">
        <f>'[1]XRF Masses'!AI42</f>
        <v>3.3999999999999998E-3</v>
      </c>
      <c r="AK16" s="9">
        <f>'[1]XRF Masses'!AJ42</f>
        <v>0</v>
      </c>
      <c r="AL16" s="9">
        <f>'[1]XRF Masses'!AK42</f>
        <v>0</v>
      </c>
      <c r="AM16" s="9">
        <f>'[1]XRF Masses'!AL42</f>
        <v>0</v>
      </c>
      <c r="AN16" s="9">
        <f>'[1]XRF Masses'!AM42</f>
        <v>0</v>
      </c>
      <c r="AO16" s="9">
        <f>'[1]XRF Masses'!AN42</f>
        <v>2.5999999999999999E-2</v>
      </c>
      <c r="AP16" s="9">
        <f>'[1]XRF Masses'!AO42</f>
        <v>0</v>
      </c>
      <c r="AQ16" s="9">
        <f>'[1]XRF Masses'!AP42</f>
        <v>4.7500000000000001E-2</v>
      </c>
      <c r="AR16" s="9">
        <f>'[1]XRF Masses'!AQ42</f>
        <v>2.2599999999999999E-2</v>
      </c>
      <c r="AS16" s="9">
        <f>'[1]XRF Masses'!AR42</f>
        <v>0</v>
      </c>
      <c r="AT16" s="9">
        <f>'[1]XRF Masses'!AS42</f>
        <v>0</v>
      </c>
      <c r="AU16" s="9">
        <f>'[1]XRF Masses'!AT42</f>
        <v>0</v>
      </c>
      <c r="AV16" s="9">
        <f>'[1]XRF Masses'!AU42</f>
        <v>1.1299999999999999E-2</v>
      </c>
      <c r="AW16" s="9">
        <f>'[1]Quartz Filter Masses'!C21</f>
        <v>20.02</v>
      </c>
      <c r="AX16" s="9">
        <f>'[1]Quartz Filter Masses'!D21</f>
        <v>2.79</v>
      </c>
      <c r="AY16">
        <f>'[1]Quartz Back Filter Masses'!C19</f>
        <v>6.61</v>
      </c>
      <c r="AZ16">
        <f>'[1]Quartz Back Filter Masses'!D19</f>
        <v>0.13</v>
      </c>
      <c r="BA16" s="77">
        <f t="shared" si="0"/>
        <v>0.55369999999999209</v>
      </c>
      <c r="BB16" s="77">
        <f t="shared" si="1"/>
        <v>0.17913267062989391</v>
      </c>
      <c r="BC16" s="77">
        <f t="shared" si="2"/>
        <v>2.5330975725159858E-2</v>
      </c>
      <c r="BD16" s="92">
        <f t="shared" si="3"/>
        <v>5.783452163773057E-2</v>
      </c>
      <c r="BE16" s="93">
        <f t="shared" si="4"/>
        <v>1.1802963599536851E-3</v>
      </c>
      <c r="BF16" s="82">
        <v>0.20455899999999999</v>
      </c>
      <c r="BG16" s="83">
        <v>0.19950300000000001</v>
      </c>
      <c r="BH16" s="50">
        <f t="shared" si="5"/>
        <v>2.5025862367656335E-2</v>
      </c>
      <c r="BI16" s="30">
        <f t="shared" si="6"/>
        <v>2.706798527564136</v>
      </c>
      <c r="BJ16" s="102">
        <f t="shared" si="7"/>
        <v>2.0272879707077178E-3</v>
      </c>
      <c r="BK16" s="102">
        <f t="shared" si="8"/>
        <v>0</v>
      </c>
      <c r="BL16" s="102">
        <f t="shared" si="9"/>
        <v>0</v>
      </c>
      <c r="BM16" s="102">
        <f t="shared" si="10"/>
        <v>4.5854741174917752E-4</v>
      </c>
      <c r="BN16" s="102">
        <f t="shared" si="11"/>
        <v>0</v>
      </c>
      <c r="BO16" s="102">
        <f t="shared" si="12"/>
        <v>7.865701338000285E-3</v>
      </c>
      <c r="BP16" s="102">
        <f t="shared" si="13"/>
        <v>8.2176780293216154E-3</v>
      </c>
      <c r="BQ16" s="102">
        <f t="shared" si="14"/>
        <v>1.7623277391852717E-2</v>
      </c>
      <c r="BR16" s="102">
        <f t="shared" si="15"/>
        <v>1.5193660508704093E-3</v>
      </c>
      <c r="BS16" s="102">
        <f t="shared" si="16"/>
        <v>0</v>
      </c>
      <c r="BT16" s="102">
        <f t="shared" si="17"/>
        <v>0</v>
      </c>
      <c r="BU16" s="102">
        <f t="shared" si="18"/>
        <v>6.7951055685645714E-4</v>
      </c>
      <c r="BV16" s="102">
        <f t="shared" si="19"/>
        <v>4.9863364603855124E-5</v>
      </c>
      <c r="BW16" s="102">
        <f t="shared" si="20"/>
        <v>6.2964719225260186E-4</v>
      </c>
      <c r="BX16" s="102">
        <f t="shared" si="21"/>
        <v>0</v>
      </c>
      <c r="BY16" s="102">
        <f t="shared" si="22"/>
        <v>0</v>
      </c>
      <c r="BZ16" s="102">
        <f t="shared" si="23"/>
        <v>1.6621121534618373E-5</v>
      </c>
      <c r="CA16" s="102">
        <f t="shared" si="24"/>
        <v>3.9660929120693793E-3</v>
      </c>
      <c r="CB16" s="102">
        <f t="shared" si="25"/>
        <v>1.6621121534618373E-5</v>
      </c>
      <c r="CC16" s="102">
        <f t="shared" si="26"/>
        <v>0</v>
      </c>
      <c r="CD16" s="102">
        <f t="shared" si="27"/>
        <v>0</v>
      </c>
      <c r="CE16" s="102">
        <f t="shared" si="28"/>
        <v>1.1243699861653608E-5</v>
      </c>
      <c r="CF16" s="102">
        <f t="shared" si="29"/>
        <v>1.1243699861653608E-5</v>
      </c>
      <c r="CG16" s="102">
        <f t="shared" si="30"/>
        <v>7.1861907811438268E-5</v>
      </c>
      <c r="CH16" s="102">
        <f t="shared" si="31"/>
        <v>0</v>
      </c>
      <c r="CI16" s="102">
        <f t="shared" si="32"/>
        <v>1.6621121534618373E-5</v>
      </c>
      <c r="CJ16" s="102">
        <f t="shared" si="33"/>
        <v>0</v>
      </c>
      <c r="CK16" s="102">
        <f t="shared" si="34"/>
        <v>0</v>
      </c>
      <c r="CL16" s="102">
        <f t="shared" si="35"/>
        <v>0</v>
      </c>
      <c r="CM16" s="102">
        <f t="shared" si="36"/>
        <v>0</v>
      </c>
      <c r="CN16" s="102">
        <f t="shared" si="37"/>
        <v>1.2710269408825817E-4</v>
      </c>
      <c r="CO16" s="102">
        <f t="shared" si="38"/>
        <v>0</v>
      </c>
      <c r="CP16" s="102">
        <f t="shared" si="39"/>
        <v>2.3220684496893317E-4</v>
      </c>
      <c r="CQ16" s="102">
        <f t="shared" si="40"/>
        <v>1.1048157255363977E-4</v>
      </c>
      <c r="CR16" s="102">
        <f t="shared" si="41"/>
        <v>0</v>
      </c>
      <c r="CS16" s="102">
        <f t="shared" si="42"/>
        <v>0</v>
      </c>
      <c r="CT16" s="102">
        <f t="shared" si="43"/>
        <v>0</v>
      </c>
      <c r="CU16" s="102">
        <f t="shared" si="44"/>
        <v>5.5240786276819884E-5</v>
      </c>
      <c r="CV16" s="30">
        <f t="shared" si="48"/>
        <v>0.61516679391946572</v>
      </c>
      <c r="CW16" s="30">
        <f t="shared" si="49"/>
        <v>0.12120044440948556</v>
      </c>
      <c r="CX16" s="30">
        <f t="shared" si="45"/>
        <v>0.73636723832895123</v>
      </c>
      <c r="CY16" s="2">
        <f t="shared" si="50"/>
        <v>2.6984801672793939</v>
      </c>
      <c r="CZ16" s="18">
        <f t="shared" si="51"/>
        <v>8.5049297654078595E-4</v>
      </c>
      <c r="DA16" s="18">
        <f t="shared" si="52"/>
        <v>0</v>
      </c>
      <c r="DB16" s="18">
        <f t="shared" si="53"/>
        <v>0</v>
      </c>
      <c r="DC16" s="18">
        <f t="shared" si="54"/>
        <v>2.1909388043347025E-4</v>
      </c>
      <c r="DD16" s="18">
        <f t="shared" si="55"/>
        <v>0</v>
      </c>
      <c r="DE16" s="18">
        <f t="shared" si="56"/>
        <v>7.7630597697771649E-3</v>
      </c>
      <c r="DF16" s="18">
        <f t="shared" si="57"/>
        <v>7.9768086564475354E-3</v>
      </c>
      <c r="DG16" s="18">
        <f t="shared" si="58"/>
        <v>1.7307276168071855E-2</v>
      </c>
      <c r="DH16" s="18">
        <f t="shared" si="59"/>
        <v>8.955391222880872E-4</v>
      </c>
      <c r="DI16" s="18">
        <f t="shared" si="60"/>
        <v>0</v>
      </c>
      <c r="DJ16" s="18">
        <f t="shared" si="61"/>
        <v>0</v>
      </c>
      <c r="DK16" s="18">
        <f t="shared" si="62"/>
        <v>5.9805971371296369E-4</v>
      </c>
      <c r="DL16" s="18">
        <f t="shared" si="63"/>
        <v>1.6349736435438532E-5</v>
      </c>
      <c r="DM16" s="18">
        <f t="shared" si="64"/>
        <v>3.5185129740548384E-4</v>
      </c>
      <c r="DN16" s="18">
        <f t="shared" si="65"/>
        <v>0</v>
      </c>
      <c r="DO16" s="18">
        <f t="shared" si="66"/>
        <v>0</v>
      </c>
      <c r="DP16" s="18">
        <f t="shared" si="67"/>
        <v>1.6621121534618373E-5</v>
      </c>
      <c r="DQ16" s="18">
        <f t="shared" si="68"/>
        <v>3.8946106510904617E-3</v>
      </c>
      <c r="DR16" s="18">
        <f t="shared" si="69"/>
        <v>0</v>
      </c>
      <c r="DS16" s="18">
        <f t="shared" si="70"/>
        <v>0</v>
      </c>
      <c r="DT16" s="18">
        <f t="shared" si="71"/>
        <v>0</v>
      </c>
      <c r="DU16" s="18">
        <f t="shared" si="72"/>
        <v>1.1243699861653608E-5</v>
      </c>
      <c r="DV16" s="18">
        <f t="shared" si="73"/>
        <v>6.3651337358714465E-6</v>
      </c>
      <c r="DW16" s="18">
        <f t="shared" si="74"/>
        <v>7.1861907811438268E-5</v>
      </c>
      <c r="DX16" s="18">
        <f t="shared" si="75"/>
        <v>0</v>
      </c>
      <c r="DY16" s="18">
        <f t="shared" si="76"/>
        <v>2.4799090504232592E-6</v>
      </c>
      <c r="DZ16" s="18">
        <f t="shared" si="77"/>
        <v>0</v>
      </c>
      <c r="EA16" s="18">
        <f t="shared" si="78"/>
        <v>0</v>
      </c>
      <c r="EB16" s="18">
        <f t="shared" si="79"/>
        <v>0</v>
      </c>
      <c r="EC16" s="18">
        <f t="shared" si="80"/>
        <v>0</v>
      </c>
      <c r="ED16" s="18">
        <f t="shared" si="81"/>
        <v>1.1067393252573738E-4</v>
      </c>
      <c r="EE16" s="18">
        <f t="shared" si="82"/>
        <v>0</v>
      </c>
      <c r="EF16" s="18">
        <f t="shared" si="83"/>
        <v>2.3220684496893317E-4</v>
      </c>
      <c r="EG16" s="18">
        <f t="shared" si="84"/>
        <v>1.1048157255363977E-4</v>
      </c>
      <c r="EH16" s="18">
        <f t="shared" si="85"/>
        <v>0</v>
      </c>
      <c r="EI16" s="18">
        <f t="shared" si="86"/>
        <v>0</v>
      </c>
      <c r="EJ16" s="18">
        <f t="shared" si="87"/>
        <v>0</v>
      </c>
      <c r="EK16" s="18">
        <f t="shared" si="88"/>
        <v>4.109957379262477E-5</v>
      </c>
      <c r="EL16" s="2">
        <f t="shared" si="89"/>
        <v>0.60685524799489743</v>
      </c>
      <c r="EM16" s="2">
        <f t="shared" si="90"/>
        <v>0.12120044440948556</v>
      </c>
      <c r="EN16" s="103">
        <f t="shared" si="97"/>
        <v>0.76853186807242113</v>
      </c>
      <c r="EO16" s="103">
        <f t="shared" si="93"/>
        <v>2.6984801672793939</v>
      </c>
      <c r="EP16" s="113">
        <f t="shared" si="46"/>
        <v>0.12388987566607459</v>
      </c>
      <c r="EQ16" s="17">
        <f t="shared" si="47"/>
        <v>0.87611012433392543</v>
      </c>
      <c r="HH16">
        <f t="shared" si="94"/>
        <v>0.22726730033840309</v>
      </c>
      <c r="HI16" s="36">
        <f t="shared" si="91"/>
        <v>0.32351936180223312</v>
      </c>
      <c r="HJ16">
        <f t="shared" si="95"/>
        <v>4.4776307942857703E-2</v>
      </c>
      <c r="HK16">
        <f t="shared" si="92"/>
        <v>4.5748556483944769E-2</v>
      </c>
      <c r="HM16" s="36">
        <f t="shared" si="96"/>
        <v>0.27204360828126078</v>
      </c>
    </row>
    <row r="17" spans="1:221" s="36" customFormat="1">
      <c r="A17" s="20">
        <f>'Phase CEMS PM Concentrations'!A17</f>
        <v>44341</v>
      </c>
      <c r="B17" s="20" t="str">
        <f>'Phase CEMS PM Concentrations'!B17</f>
        <v>BK Princess</v>
      </c>
      <c r="C17" s="20" t="str">
        <f>'Phase CEMS PM Concentrations'!C17</f>
        <v>Wet birch</v>
      </c>
      <c r="D17" s="20" t="str">
        <f>'Phase CEMS PM Concentrations'!D17</f>
        <v>Startup</v>
      </c>
      <c r="E17" s="21" t="s">
        <v>459</v>
      </c>
      <c r="F17" s="48">
        <f>IF(ISBLANK('Phase CEMS PM Concentrations'!E17),"",'Phase CEMS PM Concentrations'!E17)</f>
        <v>44341.361805555556</v>
      </c>
      <c r="G17" s="48">
        <f>IF(ISBLANK('Phase CEMS PM Concentrations'!F17),"",'Phase CEMS PM Concentrations'!F17)</f>
        <v>44341.381944444445</v>
      </c>
      <c r="H17" s="9" t="str">
        <f>'[1]XRF Masses'!B43</f>
        <v>TF4721021</v>
      </c>
      <c r="I17" s="64" t="s">
        <v>460</v>
      </c>
      <c r="J17">
        <f>'[1]Teflon Filter Masses'!$R24</f>
        <v>0.74770000000000891</v>
      </c>
      <c r="K17" s="9">
        <f>'[1]XRF Masses'!J43</f>
        <v>0</v>
      </c>
      <c r="L17" s="9">
        <f>'[1]XRF Masses'!K43</f>
        <v>0</v>
      </c>
      <c r="M17" s="9">
        <f>'[1]XRF Masses'!L43</f>
        <v>0</v>
      </c>
      <c r="N17" s="9">
        <f>'[1]XRF Masses'!M43</f>
        <v>9.8299999999999998E-2</v>
      </c>
      <c r="O17" s="9">
        <f>'[1]XRF Masses'!N43</f>
        <v>0</v>
      </c>
      <c r="P17" s="9">
        <f>'[1]XRF Masses'!O43</f>
        <v>0.8034</v>
      </c>
      <c r="Q17" s="9">
        <f>'[1]XRF Masses'!P43</f>
        <v>1.377</v>
      </c>
      <c r="R17" s="9">
        <f>'[1]XRF Masses'!Q43</f>
        <v>1.0409999999999999</v>
      </c>
      <c r="S17" s="9">
        <f>'[1]XRF Masses'!R43</f>
        <v>0.13789999999999999</v>
      </c>
      <c r="T17" s="9">
        <f>'[1]XRF Masses'!S43</f>
        <v>5.5999999999999999E-3</v>
      </c>
      <c r="U17" s="9">
        <f>'[1]XRF Masses'!T43</f>
        <v>0</v>
      </c>
      <c r="V17" s="9">
        <f>'[1]XRF Masses'!U43</f>
        <v>0</v>
      </c>
      <c r="W17" s="9">
        <f>'[1]XRF Masses'!V43</f>
        <v>1.5800000000000002E-2</v>
      </c>
      <c r="X17" s="9">
        <f>'[1]XRF Masses'!W43</f>
        <v>4.8599999999999997E-2</v>
      </c>
      <c r="Y17" s="9">
        <f>'[1]XRF Masses'!X43</f>
        <v>0</v>
      </c>
      <c r="Z17" s="9">
        <f>'[1]XRF Masses'!Y43</f>
        <v>0</v>
      </c>
      <c r="AA17" s="9">
        <f>'[1]XRF Masses'!Z43</f>
        <v>3.3999999999999998E-3</v>
      </c>
      <c r="AB17" s="9">
        <f>'[1]XRF Masses'!AA43</f>
        <v>0.26329999999999998</v>
      </c>
      <c r="AC17" s="9">
        <f>'[1]XRF Masses'!AB43</f>
        <v>0</v>
      </c>
      <c r="AD17" s="9">
        <f>'[1]XRF Masses'!AC43</f>
        <v>0</v>
      </c>
      <c r="AE17" s="9">
        <f>'[1]XRF Masses'!AD43</f>
        <v>1.1000000000000001E-3</v>
      </c>
      <c r="AF17" s="9">
        <f>'[1]XRF Masses'!AE43</f>
        <v>0</v>
      </c>
      <c r="AG17" s="9">
        <f>'[1]XRF Masses'!AF43</f>
        <v>0</v>
      </c>
      <c r="AH17" s="9">
        <f>'[1]XRF Masses'!AG43</f>
        <v>0</v>
      </c>
      <c r="AI17" s="9">
        <f>'[1]XRF Masses'!AH43</f>
        <v>0</v>
      </c>
      <c r="AJ17" s="9">
        <f>'[1]XRF Masses'!AI43</f>
        <v>0</v>
      </c>
      <c r="AK17" s="9">
        <f>'[1]XRF Masses'!AJ43</f>
        <v>0</v>
      </c>
      <c r="AL17" s="9">
        <f>'[1]XRF Masses'!AK43</f>
        <v>0</v>
      </c>
      <c r="AM17" s="9">
        <f>'[1]XRF Masses'!AL43</f>
        <v>1.8100000000000002E-2</v>
      </c>
      <c r="AN17" s="9">
        <f>'[1]XRF Masses'!AM43</f>
        <v>0</v>
      </c>
      <c r="AO17" s="9">
        <f>'[1]XRF Masses'!AN43</f>
        <v>0</v>
      </c>
      <c r="AP17" s="9">
        <f>'[1]XRF Masses'!AO43</f>
        <v>0</v>
      </c>
      <c r="AQ17" s="9">
        <f>'[1]XRF Masses'!AP43</f>
        <v>0</v>
      </c>
      <c r="AR17" s="9">
        <f>'[1]XRF Masses'!AQ43</f>
        <v>6.7799999999999999E-2</v>
      </c>
      <c r="AS17" s="9">
        <f>'[1]XRF Masses'!AR43</f>
        <v>0</v>
      </c>
      <c r="AT17" s="9">
        <f>'[1]XRF Masses'!AS43</f>
        <v>0</v>
      </c>
      <c r="AU17" s="9">
        <f>'[1]XRF Masses'!AT43</f>
        <v>5.5999999999999999E-3</v>
      </c>
      <c r="AV17" s="9">
        <f>'[1]XRF Masses'!AU43</f>
        <v>0</v>
      </c>
      <c r="AW17" s="9">
        <f>'[1]Quartz Filter Masses'!C26</f>
        <v>47.26</v>
      </c>
      <c r="AX17" s="9">
        <f>'[1]Quartz Filter Masses'!D26</f>
        <v>4.01</v>
      </c>
      <c r="AY17">
        <f>'[1]Quartz Back Filter Masses'!C23</f>
        <v>4.8600000000000003</v>
      </c>
      <c r="AZ17" s="9">
        <f>'[1]Quartz Back Filter Masses'!D23</f>
        <v>0.08</v>
      </c>
      <c r="BA17" s="77">
        <f t="shared" si="0"/>
        <v>0.7418999999999869</v>
      </c>
      <c r="BB17" s="77">
        <f t="shared" si="1"/>
        <v>0.4264501540540353</v>
      </c>
      <c r="BC17" s="77">
        <f t="shared" si="2"/>
        <v>3.6407603103186748E-2</v>
      </c>
      <c r="BD17" s="92">
        <f t="shared" si="3"/>
        <v>4.1945916792200194E-2</v>
      </c>
      <c r="BE17" s="93">
        <f t="shared" si="4"/>
        <v>7.2633622150996007E-4</v>
      </c>
      <c r="BF17" s="82">
        <v>2.81414E-2</v>
      </c>
      <c r="BG17" s="83">
        <v>2.7024800000000002E-2</v>
      </c>
      <c r="BH17" s="50">
        <f t="shared" si="5"/>
        <v>4.0481309207449447E-2</v>
      </c>
      <c r="BI17" s="30">
        <f t="shared" si="6"/>
        <v>26.36329393704602</v>
      </c>
      <c r="BJ17" s="102">
        <f t="shared" si="7"/>
        <v>0</v>
      </c>
      <c r="BK17" s="102">
        <f t="shared" si="8"/>
        <v>0</v>
      </c>
      <c r="BL17" s="102">
        <f t="shared" si="9"/>
        <v>0</v>
      </c>
      <c r="BM17" s="102">
        <f t="shared" si="10"/>
        <v>3.4930742606977621E-3</v>
      </c>
      <c r="BN17" s="102">
        <f t="shared" si="11"/>
        <v>0</v>
      </c>
      <c r="BO17" s="102">
        <f t="shared" si="12"/>
        <v>2.8548686277157499E-2</v>
      </c>
      <c r="BP17" s="102">
        <f t="shared" si="13"/>
        <v>4.8931467517607512E-2</v>
      </c>
      <c r="BQ17" s="102">
        <f t="shared" si="14"/>
        <v>3.6991763025293695E-2</v>
      </c>
      <c r="BR17" s="102">
        <f t="shared" si="15"/>
        <v>4.900253718720461E-3</v>
      </c>
      <c r="BS17" s="102">
        <f t="shared" si="16"/>
        <v>1.9899507487189692E-4</v>
      </c>
      <c r="BT17" s="102">
        <f t="shared" si="17"/>
        <v>0</v>
      </c>
      <c r="BU17" s="102">
        <f t="shared" si="18"/>
        <v>0</v>
      </c>
      <c r="BV17" s="102">
        <f t="shared" si="19"/>
        <v>5.6145038981713778E-4</v>
      </c>
      <c r="BW17" s="102">
        <f t="shared" si="20"/>
        <v>1.7269929712096768E-3</v>
      </c>
      <c r="BX17" s="102">
        <f t="shared" si="21"/>
        <v>0</v>
      </c>
      <c r="BY17" s="102">
        <f t="shared" si="22"/>
        <v>0</v>
      </c>
      <c r="BZ17" s="102">
        <f t="shared" si="23"/>
        <v>1.2081843831508027E-4</v>
      </c>
      <c r="CA17" s="102">
        <f t="shared" si="24"/>
        <v>9.3563220024590089E-3</v>
      </c>
      <c r="CB17" s="102">
        <f t="shared" si="25"/>
        <v>0</v>
      </c>
      <c r="CC17" s="102">
        <f t="shared" si="26"/>
        <v>0</v>
      </c>
      <c r="CD17" s="102">
        <f t="shared" si="27"/>
        <v>3.9088318278408331E-5</v>
      </c>
      <c r="CE17" s="102">
        <f t="shared" si="28"/>
        <v>0</v>
      </c>
      <c r="CF17" s="102">
        <f t="shared" si="29"/>
        <v>0</v>
      </c>
      <c r="CG17" s="102">
        <f t="shared" si="30"/>
        <v>0</v>
      </c>
      <c r="CH17" s="102">
        <f t="shared" si="31"/>
        <v>0</v>
      </c>
      <c r="CI17" s="102">
        <f t="shared" si="32"/>
        <v>0</v>
      </c>
      <c r="CJ17" s="102">
        <f t="shared" si="33"/>
        <v>0</v>
      </c>
      <c r="CK17" s="102">
        <f t="shared" si="34"/>
        <v>0</v>
      </c>
      <c r="CL17" s="102">
        <f t="shared" si="35"/>
        <v>6.431805098538097E-4</v>
      </c>
      <c r="CM17" s="102">
        <f t="shared" si="36"/>
        <v>0</v>
      </c>
      <c r="CN17" s="102">
        <f t="shared" si="37"/>
        <v>0</v>
      </c>
      <c r="CO17" s="102">
        <f t="shared" si="38"/>
        <v>0</v>
      </c>
      <c r="CP17" s="102">
        <f t="shared" si="39"/>
        <v>0</v>
      </c>
      <c r="CQ17" s="102">
        <f t="shared" si="40"/>
        <v>2.409261799341895E-3</v>
      </c>
      <c r="CR17" s="102">
        <f t="shared" si="41"/>
        <v>0</v>
      </c>
      <c r="CS17" s="102">
        <f t="shared" si="42"/>
        <v>0</v>
      </c>
      <c r="CT17" s="102">
        <f t="shared" si="43"/>
        <v>1.9899507487189692E-4</v>
      </c>
      <c r="CU17" s="102">
        <f t="shared" si="44"/>
        <v>0</v>
      </c>
      <c r="CV17" s="30">
        <f t="shared" si="48"/>
        <v>14.289414744686413</v>
      </c>
      <c r="CW17" s="30">
        <f t="shared" si="49"/>
        <v>1.3213820858258014</v>
      </c>
      <c r="CX17" s="30">
        <f t="shared" si="45"/>
        <v>15.610796830512214</v>
      </c>
      <c r="CY17" s="2">
        <f t="shared" si="50"/>
        <v>26.354975576761277</v>
      </c>
      <c r="CZ17" s="18">
        <f t="shared" si="51"/>
        <v>0</v>
      </c>
      <c r="DA17" s="18">
        <f t="shared" si="52"/>
        <v>0</v>
      </c>
      <c r="DB17" s="18">
        <f t="shared" si="53"/>
        <v>0</v>
      </c>
      <c r="DC17" s="18">
        <f t="shared" si="54"/>
        <v>3.2536207293820548E-3</v>
      </c>
      <c r="DD17" s="18">
        <f t="shared" si="55"/>
        <v>0</v>
      </c>
      <c r="DE17" s="18">
        <f t="shared" si="56"/>
        <v>2.8446044708934377E-2</v>
      </c>
      <c r="DF17" s="18">
        <f t="shared" si="57"/>
        <v>4.8690598144733428E-2</v>
      </c>
      <c r="DG17" s="18">
        <f t="shared" si="58"/>
        <v>3.6675761801512829E-2</v>
      </c>
      <c r="DH17" s="18">
        <f t="shared" si="59"/>
        <v>4.2764267901381388E-3</v>
      </c>
      <c r="DI17" s="18">
        <f t="shared" si="60"/>
        <v>1.9421201770812504E-4</v>
      </c>
      <c r="DJ17" s="18">
        <f t="shared" si="61"/>
        <v>0</v>
      </c>
      <c r="DK17" s="18">
        <f t="shared" si="62"/>
        <v>0</v>
      </c>
      <c r="DL17" s="18">
        <f t="shared" si="63"/>
        <v>5.2793676164872121E-4</v>
      </c>
      <c r="DM17" s="18">
        <f t="shared" si="64"/>
        <v>1.4491970763625588E-3</v>
      </c>
      <c r="DN17" s="18">
        <f t="shared" si="65"/>
        <v>0</v>
      </c>
      <c r="DO17" s="18">
        <f t="shared" si="66"/>
        <v>0</v>
      </c>
      <c r="DP17" s="18">
        <f t="shared" si="67"/>
        <v>1.2081843831508027E-4</v>
      </c>
      <c r="DQ17" s="18">
        <f t="shared" si="68"/>
        <v>9.2848397414800922E-3</v>
      </c>
      <c r="DR17" s="18">
        <f t="shared" si="69"/>
        <v>0</v>
      </c>
      <c r="DS17" s="18">
        <f t="shared" si="70"/>
        <v>0</v>
      </c>
      <c r="DT17" s="18">
        <f t="shared" si="71"/>
        <v>2.7210070319982197E-5</v>
      </c>
      <c r="DU17" s="18">
        <f t="shared" si="72"/>
        <v>0</v>
      </c>
      <c r="DV17" s="18">
        <f t="shared" si="73"/>
        <v>0</v>
      </c>
      <c r="DW17" s="18">
        <f t="shared" si="74"/>
        <v>0</v>
      </c>
      <c r="DX17" s="18">
        <f t="shared" si="75"/>
        <v>0</v>
      </c>
      <c r="DY17" s="18">
        <f t="shared" si="76"/>
        <v>0</v>
      </c>
      <c r="DZ17" s="18">
        <f t="shared" si="77"/>
        <v>0</v>
      </c>
      <c r="EA17" s="18">
        <f t="shared" si="78"/>
        <v>0</v>
      </c>
      <c r="EB17" s="18">
        <f t="shared" si="79"/>
        <v>6.431805098538097E-4</v>
      </c>
      <c r="EC17" s="18">
        <f t="shared" si="80"/>
        <v>0</v>
      </c>
      <c r="ED17" s="18">
        <f t="shared" si="81"/>
        <v>0</v>
      </c>
      <c r="EE17" s="18">
        <f t="shared" si="82"/>
        <v>0</v>
      </c>
      <c r="EF17" s="18">
        <f t="shared" si="83"/>
        <v>0</v>
      </c>
      <c r="EG17" s="18">
        <f t="shared" si="84"/>
        <v>2.409261799341895E-3</v>
      </c>
      <c r="EH17" s="18">
        <f t="shared" si="85"/>
        <v>0</v>
      </c>
      <c r="EI17" s="18">
        <f t="shared" si="86"/>
        <v>0</v>
      </c>
      <c r="EJ17" s="18">
        <f t="shared" si="87"/>
        <v>1.9899507487189692E-4</v>
      </c>
      <c r="EK17" s="18">
        <f t="shared" si="88"/>
        <v>0</v>
      </c>
      <c r="EL17" s="2">
        <f t="shared" si="89"/>
        <v>14.281103198761844</v>
      </c>
      <c r="EM17" s="2">
        <f t="shared" si="90"/>
        <v>1.3213820858258014</v>
      </c>
      <c r="EN17" s="103">
        <f t="shared" si="97"/>
        <v>15.738683388252248</v>
      </c>
      <c r="EO17" s="103">
        <f t="shared" si="93"/>
        <v>26.354975576761277</v>
      </c>
      <c r="EP17" s="113">
        <f t="shared" si="46"/>
        <v>7.8658297371518235E-2</v>
      </c>
      <c r="EQ17" s="17">
        <f t="shared" si="47"/>
        <v>0.92134170262848181</v>
      </c>
      <c r="ES17"/>
      <c r="HH17">
        <f t="shared" si="94"/>
        <v>0.54201932348850967</v>
      </c>
      <c r="HI17" s="36">
        <f t="shared" si="91"/>
        <v>0.57480813324443025</v>
      </c>
      <c r="HJ17">
        <f t="shared" si="95"/>
        <v>5.01220404772326E-2</v>
      </c>
      <c r="HK17">
        <f t="shared" si="92"/>
        <v>4.9073464217802114E-2</v>
      </c>
      <c r="HM17" s="36">
        <f t="shared" si="96"/>
        <v>0.59214136396574224</v>
      </c>
    </row>
    <row r="18" spans="1:221">
      <c r="A18" s="20">
        <f>'Phase CEMS PM Concentrations'!A18</f>
        <v>44341</v>
      </c>
      <c r="B18" s="20" t="str">
        <f>'Phase CEMS PM Concentrations'!B18</f>
        <v>BK Princess</v>
      </c>
      <c r="C18" s="20" t="str">
        <f>'Phase CEMS PM Concentrations'!C18</f>
        <v>Wet birch</v>
      </c>
      <c r="D18" s="20" t="str">
        <f>'Phase CEMS PM Concentrations'!D18</f>
        <v>Low</v>
      </c>
      <c r="E18" s="21" t="s">
        <v>461</v>
      </c>
      <c r="F18" s="48">
        <f>IF(ISBLANK('Phase CEMS PM Concentrations'!E18),"",'Phase CEMS PM Concentrations'!E18)</f>
        <v>44341.383333333331</v>
      </c>
      <c r="G18" s="48">
        <f>IF(ISBLANK('Phase CEMS PM Concentrations'!F18),"",'Phase CEMS PM Concentrations'!F18)</f>
        <v>44341.73541666667</v>
      </c>
      <c r="H18" s="9" t="str">
        <f>'[1]XRF Masses'!B44</f>
        <v>TF4721022</v>
      </c>
      <c r="I18" s="64" t="s">
        <v>462</v>
      </c>
      <c r="J18">
        <f>'[1]Teflon Filter Masses'!$R25</f>
        <v>0.165300000000002</v>
      </c>
      <c r="K18" s="9">
        <f>'[1]XRF Masses'!J44</f>
        <v>0</v>
      </c>
      <c r="L18" s="9">
        <f>'[1]XRF Masses'!K44</f>
        <v>0</v>
      </c>
      <c r="M18" s="9">
        <f>'[1]XRF Masses'!L44</f>
        <v>0</v>
      </c>
      <c r="N18" s="9">
        <f>'[1]XRF Masses'!M44</f>
        <v>0.71760000000000002</v>
      </c>
      <c r="O18" s="9">
        <f>'[1]XRF Masses'!N44</f>
        <v>0</v>
      </c>
      <c r="P18" s="9">
        <f>'[1]XRF Masses'!O44</f>
        <v>1.3620000000000001</v>
      </c>
      <c r="Q18" s="9">
        <f>'[1]XRF Masses'!P44</f>
        <v>0.72550000000000003</v>
      </c>
      <c r="R18" s="9">
        <f>'[1]XRF Masses'!Q44</f>
        <v>2.7970000000000002</v>
      </c>
      <c r="S18" s="9">
        <f>'[1]XRF Masses'!R44</f>
        <v>9.0399999999999994E-2</v>
      </c>
      <c r="T18" s="9">
        <f>'[1]XRF Masses'!S44</f>
        <v>0</v>
      </c>
      <c r="U18" s="9">
        <f>'[1]XRF Masses'!T44</f>
        <v>0</v>
      </c>
      <c r="V18" s="9">
        <f>'[1]XRF Masses'!U44</f>
        <v>0.11409999999999999</v>
      </c>
      <c r="W18" s="9">
        <f>'[1]XRF Masses'!V44</f>
        <v>3.3999999999999998E-3</v>
      </c>
      <c r="X18" s="9">
        <f>'[1]XRF Masses'!W44</f>
        <v>3.9600000000000003E-2</v>
      </c>
      <c r="Y18" s="9">
        <f>'[1]XRF Masses'!X44</f>
        <v>0</v>
      </c>
      <c r="Z18" s="9">
        <f>'[1]XRF Masses'!Y44</f>
        <v>0</v>
      </c>
      <c r="AA18" s="9">
        <f>'[1]XRF Masses'!Z44</f>
        <v>2.3E-3</v>
      </c>
      <c r="AB18" s="9">
        <f>'[1]XRF Masses'!AA44</f>
        <v>0.2215</v>
      </c>
      <c r="AC18" s="9">
        <f>'[1]XRF Masses'!AB44</f>
        <v>1.0200000000000001E-2</v>
      </c>
      <c r="AD18" s="9">
        <f>'[1]XRF Masses'!AC44</f>
        <v>0</v>
      </c>
      <c r="AE18" s="9">
        <f>'[1]XRF Masses'!AD44</f>
        <v>3.3999999999999998E-3</v>
      </c>
      <c r="AF18" s="9">
        <f>'[1]XRF Masses'!AE44</f>
        <v>6.7999999999999996E-3</v>
      </c>
      <c r="AG18" s="9">
        <f>'[1]XRF Masses'!AF44</f>
        <v>0</v>
      </c>
      <c r="AH18" s="9">
        <f>'[1]XRF Masses'!AG44</f>
        <v>2.3E-3</v>
      </c>
      <c r="AI18" s="9">
        <f>'[1]XRF Masses'!AH44</f>
        <v>0</v>
      </c>
      <c r="AJ18" s="9">
        <f>'[1]XRF Masses'!AI44</f>
        <v>8.9999999999999993E-3</v>
      </c>
      <c r="AK18" s="9">
        <f>'[1]XRF Masses'!AJ44</f>
        <v>1.1000000000000001E-3</v>
      </c>
      <c r="AL18" s="9">
        <f>'[1]XRF Masses'!AK44</f>
        <v>5.5999999999999999E-3</v>
      </c>
      <c r="AM18" s="9">
        <f>'[1]XRF Masses'!AL44</f>
        <v>0</v>
      </c>
      <c r="AN18" s="9">
        <f>'[1]XRF Masses'!AM44</f>
        <v>2.5999999999999999E-2</v>
      </c>
      <c r="AO18" s="9">
        <f>'[1]XRF Masses'!AN44</f>
        <v>1.24E-2</v>
      </c>
      <c r="AP18" s="9">
        <f>'[1]XRF Masses'!AO44</f>
        <v>0</v>
      </c>
      <c r="AQ18" s="9">
        <f>'[1]XRF Masses'!AP44</f>
        <v>0</v>
      </c>
      <c r="AR18" s="9">
        <f>'[1]XRF Masses'!AQ44</f>
        <v>0</v>
      </c>
      <c r="AS18" s="9">
        <f>'[1]XRF Masses'!AR44</f>
        <v>0</v>
      </c>
      <c r="AT18" s="9">
        <f>'[1]XRF Masses'!AS44</f>
        <v>5.5999999999999999E-3</v>
      </c>
      <c r="AU18" s="9">
        <f>'[1]XRF Masses'!AT44</f>
        <v>2.3E-3</v>
      </c>
      <c r="AV18" s="9">
        <f>'[1]XRF Masses'!AU44</f>
        <v>0</v>
      </c>
      <c r="AW18" s="9">
        <f>'[1]Quartz Filter Masses'!C27</f>
        <v>13.11</v>
      </c>
      <c r="AX18" s="9">
        <f>'[1]Quartz Filter Masses'!D27</f>
        <v>1.71</v>
      </c>
      <c r="AY18">
        <f>'[1]Quartz Back Filter Masses'!C24</f>
        <v>6.37</v>
      </c>
      <c r="AZ18" s="9">
        <f>'[1]Quartz Back Filter Masses'!D24</f>
        <v>0.13</v>
      </c>
      <c r="BA18" s="77">
        <f t="shared" si="0"/>
        <v>0.15949999999997999</v>
      </c>
      <c r="BB18" s="77">
        <f t="shared" si="1"/>
        <v>0.1163953794969711</v>
      </c>
      <c r="BC18" s="77">
        <f t="shared" si="2"/>
        <v>1.5525436734775395E-2</v>
      </c>
      <c r="BD18" s="92">
        <f t="shared" si="3"/>
        <v>5.5655512973200684E-2</v>
      </c>
      <c r="BE18" s="93">
        <f t="shared" si="4"/>
        <v>1.1802963599536851E-3</v>
      </c>
      <c r="BF18" s="82">
        <v>0.48857800000000001</v>
      </c>
      <c r="BG18" s="83">
        <v>0.469584</v>
      </c>
      <c r="BH18" s="50">
        <f t="shared" si="5"/>
        <v>3.9646740321574038E-2</v>
      </c>
      <c r="BI18" s="30">
        <f t="shared" si="6"/>
        <v>0.32645759735391278</v>
      </c>
      <c r="BJ18" s="102">
        <f t="shared" si="7"/>
        <v>0</v>
      </c>
      <c r="BK18" s="102">
        <f t="shared" si="8"/>
        <v>0</v>
      </c>
      <c r="BL18" s="102">
        <f t="shared" si="9"/>
        <v>0</v>
      </c>
      <c r="BM18" s="102">
        <f t="shared" si="10"/>
        <v>1.4687521746783523E-3</v>
      </c>
      <c r="BN18" s="102">
        <f t="shared" si="11"/>
        <v>0</v>
      </c>
      <c r="BO18" s="102">
        <f t="shared" si="12"/>
        <v>2.7876818031102508E-3</v>
      </c>
      <c r="BP18" s="102">
        <f t="shared" si="13"/>
        <v>1.4849215478388302E-3</v>
      </c>
      <c r="BQ18" s="102">
        <f t="shared" si="14"/>
        <v>5.7247768012477019E-3</v>
      </c>
      <c r="BR18" s="102">
        <f t="shared" si="15"/>
        <v>1.8502675110217815E-4</v>
      </c>
      <c r="BS18" s="102">
        <f t="shared" si="16"/>
        <v>0</v>
      </c>
      <c r="BT18" s="102">
        <f t="shared" si="17"/>
        <v>0</v>
      </c>
      <c r="BU18" s="102">
        <f t="shared" si="18"/>
        <v>2.3353487058361201E-4</v>
      </c>
      <c r="BV18" s="102">
        <f t="shared" si="19"/>
        <v>6.9589707272943109E-6</v>
      </c>
      <c r="BW18" s="102">
        <f t="shared" si="20"/>
        <v>8.1051541412016111E-5</v>
      </c>
      <c r="BX18" s="102">
        <f t="shared" si="21"/>
        <v>0</v>
      </c>
      <c r="BY18" s="102">
        <f t="shared" si="22"/>
        <v>0</v>
      </c>
      <c r="BZ18" s="102">
        <f t="shared" si="23"/>
        <v>4.7075390214049752E-6</v>
      </c>
      <c r="CA18" s="102">
        <f t="shared" si="24"/>
        <v>4.5335647532226178E-4</v>
      </c>
      <c r="CB18" s="102">
        <f t="shared" si="25"/>
        <v>2.0876912181882934E-5</v>
      </c>
      <c r="CC18" s="102">
        <f t="shared" si="26"/>
        <v>0</v>
      </c>
      <c r="CD18" s="102">
        <f t="shared" si="27"/>
        <v>6.9589707272943109E-6</v>
      </c>
      <c r="CE18" s="102">
        <f t="shared" si="28"/>
        <v>1.3917941454588622E-5</v>
      </c>
      <c r="CF18" s="102">
        <f t="shared" si="29"/>
        <v>0</v>
      </c>
      <c r="CG18" s="102">
        <f t="shared" si="30"/>
        <v>4.7075390214049752E-6</v>
      </c>
      <c r="CH18" s="102">
        <f t="shared" si="31"/>
        <v>0</v>
      </c>
      <c r="CI18" s="102">
        <f t="shared" si="32"/>
        <v>1.8420804866367293E-5</v>
      </c>
      <c r="CJ18" s="102">
        <f t="shared" si="33"/>
        <v>2.2514317058893362E-6</v>
      </c>
      <c r="CK18" s="102">
        <f t="shared" si="34"/>
        <v>1.1461834139072983E-5</v>
      </c>
      <c r="CL18" s="102">
        <f t="shared" si="35"/>
        <v>0</v>
      </c>
      <c r="CM18" s="102">
        <f t="shared" si="36"/>
        <v>5.3215658502838844E-5</v>
      </c>
      <c r="CN18" s="102">
        <f t="shared" si="37"/>
        <v>2.5379775593661603E-5</v>
      </c>
      <c r="CO18" s="102">
        <f t="shared" si="38"/>
        <v>0</v>
      </c>
      <c r="CP18" s="102">
        <f t="shared" si="39"/>
        <v>0</v>
      </c>
      <c r="CQ18" s="102">
        <f t="shared" si="40"/>
        <v>0</v>
      </c>
      <c r="CR18" s="102">
        <f t="shared" si="41"/>
        <v>0</v>
      </c>
      <c r="CS18" s="102">
        <f t="shared" si="42"/>
        <v>1.1461834139072983E-5</v>
      </c>
      <c r="CT18" s="102">
        <f t="shared" si="43"/>
        <v>4.7075390214049752E-6</v>
      </c>
      <c r="CU18" s="102">
        <f t="shared" si="44"/>
        <v>0</v>
      </c>
      <c r="CV18" s="30">
        <f t="shared" si="48"/>
        <v>0.1339558736948234</v>
      </c>
      <c r="CW18" s="30">
        <f t="shared" si="49"/>
        <v>3.0646328828881741E-2</v>
      </c>
      <c r="CX18" s="30">
        <f t="shared" si="45"/>
        <v>0.16460220252370514</v>
      </c>
      <c r="CY18" s="2">
        <f t="shared" si="50"/>
        <v>0.31813923706917063</v>
      </c>
      <c r="CZ18" s="18">
        <f t="shared" si="51"/>
        <v>0</v>
      </c>
      <c r="DA18" s="18">
        <f t="shared" si="52"/>
        <v>0</v>
      </c>
      <c r="DB18" s="18">
        <f t="shared" si="53"/>
        <v>0</v>
      </c>
      <c r="DC18" s="18">
        <f t="shared" si="54"/>
        <v>1.229298643362645E-3</v>
      </c>
      <c r="DD18" s="18">
        <f t="shared" si="55"/>
        <v>0</v>
      </c>
      <c r="DE18" s="18">
        <f t="shared" si="56"/>
        <v>2.6850402348871302E-3</v>
      </c>
      <c r="DF18" s="18">
        <f t="shared" si="57"/>
        <v>1.2440521749647496E-3</v>
      </c>
      <c r="DG18" s="18">
        <f t="shared" si="58"/>
        <v>5.4087755774668402E-3</v>
      </c>
      <c r="DH18" s="18">
        <f t="shared" si="59"/>
        <v>0</v>
      </c>
      <c r="DI18" s="18">
        <f t="shared" si="60"/>
        <v>0</v>
      </c>
      <c r="DJ18" s="18">
        <f t="shared" si="61"/>
        <v>0</v>
      </c>
      <c r="DK18" s="18">
        <f t="shared" si="62"/>
        <v>1.5208402744011854E-4</v>
      </c>
      <c r="DL18" s="18">
        <f t="shared" si="63"/>
        <v>0</v>
      </c>
      <c r="DM18" s="18">
        <f t="shared" si="64"/>
        <v>0</v>
      </c>
      <c r="DN18" s="18">
        <f t="shared" si="65"/>
        <v>0</v>
      </c>
      <c r="DO18" s="18">
        <f t="shared" si="66"/>
        <v>0</v>
      </c>
      <c r="DP18" s="18">
        <f t="shared" si="67"/>
        <v>4.7075390214049752E-6</v>
      </c>
      <c r="DQ18" s="18">
        <f t="shared" si="68"/>
        <v>3.8187421434334422E-4</v>
      </c>
      <c r="DR18" s="18">
        <f t="shared" si="69"/>
        <v>0</v>
      </c>
      <c r="DS18" s="18">
        <f t="shared" si="70"/>
        <v>0</v>
      </c>
      <c r="DT18" s="18">
        <f t="shared" si="71"/>
        <v>0</v>
      </c>
      <c r="DU18" s="18">
        <f t="shared" si="72"/>
        <v>1.3917941454588622E-5</v>
      </c>
      <c r="DV18" s="18">
        <f t="shared" si="73"/>
        <v>0</v>
      </c>
      <c r="DW18" s="18">
        <f t="shared" si="74"/>
        <v>4.7075390214049752E-6</v>
      </c>
      <c r="DX18" s="18">
        <f t="shared" si="75"/>
        <v>0</v>
      </c>
      <c r="DY18" s="18">
        <f t="shared" si="76"/>
        <v>4.2795923821721791E-6</v>
      </c>
      <c r="DZ18" s="18">
        <f t="shared" si="77"/>
        <v>2.2514317058893362E-6</v>
      </c>
      <c r="EA18" s="18">
        <f t="shared" si="78"/>
        <v>1.1461834139072983E-5</v>
      </c>
      <c r="EB18" s="18">
        <f t="shared" si="79"/>
        <v>0</v>
      </c>
      <c r="EC18" s="18">
        <f t="shared" si="80"/>
        <v>5.3215658502838844E-5</v>
      </c>
      <c r="ED18" s="18">
        <f t="shared" si="81"/>
        <v>8.9510140311408049E-6</v>
      </c>
      <c r="EE18" s="18">
        <f t="shared" si="82"/>
        <v>0</v>
      </c>
      <c r="EF18" s="18">
        <f t="shared" si="83"/>
        <v>0</v>
      </c>
      <c r="EG18" s="18">
        <f t="shared" si="84"/>
        <v>0</v>
      </c>
      <c r="EH18" s="18">
        <f t="shared" si="85"/>
        <v>0</v>
      </c>
      <c r="EI18" s="18">
        <f t="shared" si="86"/>
        <v>2.103678818649747E-6</v>
      </c>
      <c r="EJ18" s="18">
        <f t="shared" si="87"/>
        <v>4.7075390214049752E-6</v>
      </c>
      <c r="EK18" s="18">
        <f t="shared" si="88"/>
        <v>0</v>
      </c>
      <c r="EL18" s="2">
        <f t="shared" si="89"/>
        <v>0.12564432777025511</v>
      </c>
      <c r="EM18" s="2">
        <f t="shared" si="90"/>
        <v>3.0646328828881741E-2</v>
      </c>
      <c r="EN18" s="103">
        <f t="shared" si="97"/>
        <v>0.16750208523970025</v>
      </c>
      <c r="EO18" s="103">
        <f t="shared" si="93"/>
        <v>0.31813923706917063</v>
      </c>
      <c r="EP18" s="113">
        <f t="shared" si="46"/>
        <v>0.11768754301445286</v>
      </c>
      <c r="EQ18" s="17">
        <f t="shared" si="47"/>
        <v>0.88231245698554728</v>
      </c>
      <c r="HH18">
        <f t="shared" si="94"/>
        <v>0.41033161666506351</v>
      </c>
      <c r="HI18" s="36">
        <f t="shared" si="91"/>
        <v>0.72975159559238678</v>
      </c>
      <c r="HJ18">
        <f t="shared" si="95"/>
        <v>9.3875373332659939E-2</v>
      </c>
      <c r="HK18">
        <f t="shared" si="92"/>
        <v>9.7338161346566407E-2</v>
      </c>
      <c r="HM18" s="36">
        <f t="shared" si="96"/>
        <v>0.50420698999772351</v>
      </c>
    </row>
    <row r="19" spans="1:221">
      <c r="A19" s="20">
        <f>'Phase CEMS PM Concentrations'!A19</f>
        <v>44342</v>
      </c>
      <c r="B19" s="20" t="str">
        <f>'Phase CEMS PM Concentrations'!B19</f>
        <v>BK Princess</v>
      </c>
      <c r="C19" s="20" t="str">
        <f>'Phase CEMS PM Concentrations'!C19</f>
        <v>Wet birch</v>
      </c>
      <c r="D19" s="20" t="str">
        <f>'Phase CEMS PM Concentrations'!D19</f>
        <v>Startup</v>
      </c>
      <c r="E19" s="21" t="s">
        <v>463</v>
      </c>
      <c r="F19" s="48">
        <f>IF(ISBLANK('Phase CEMS PM Concentrations'!E19),"",'Phase CEMS PM Concentrations'!E19)</f>
        <v>44342.388888888891</v>
      </c>
      <c r="G19" s="48">
        <f>IF(ISBLANK('Phase CEMS PM Concentrations'!F19),"",'Phase CEMS PM Concentrations'!F19)</f>
        <v>44342.416666666664</v>
      </c>
      <c r="H19" s="9" t="str">
        <f>'[1]XRF Masses'!B45</f>
        <v>TF4721024</v>
      </c>
      <c r="I19" s="64" t="s">
        <v>464</v>
      </c>
      <c r="J19">
        <f>'[1]Teflon Filter Masses'!$R26</f>
        <v>1.0243000000000109</v>
      </c>
      <c r="K19" s="9">
        <f>'[1]XRF Masses'!J45</f>
        <v>0</v>
      </c>
      <c r="L19" s="9">
        <f>'[1]XRF Masses'!K45</f>
        <v>0</v>
      </c>
      <c r="M19" s="9">
        <f>'[1]XRF Masses'!L45</f>
        <v>0</v>
      </c>
      <c r="N19" s="9">
        <f>'[1]XRF Masses'!M45</f>
        <v>5.6500000000000002E-2</v>
      </c>
      <c r="O19" s="9">
        <f>'[1]XRF Masses'!N45</f>
        <v>0</v>
      </c>
      <c r="P19" s="9">
        <f>'[1]XRF Masses'!O45</f>
        <v>1.276</v>
      </c>
      <c r="Q19" s="9">
        <f>'[1]XRF Masses'!P45</f>
        <v>2.0609999999999999</v>
      </c>
      <c r="R19" s="9">
        <f>'[1]XRF Masses'!Q45</f>
        <v>0.98760000000000003</v>
      </c>
      <c r="S19" s="9">
        <f>'[1]XRF Masses'!R45</f>
        <v>0.4904</v>
      </c>
      <c r="T19" s="9">
        <f>'[1]XRF Masses'!S45</f>
        <v>6.7999999999999996E-3</v>
      </c>
      <c r="U19" s="9">
        <f>'[1]XRF Masses'!T45</f>
        <v>0</v>
      </c>
      <c r="V19" s="9">
        <f>'[1]XRF Masses'!U45</f>
        <v>1.5800000000000002E-2</v>
      </c>
      <c r="W19" s="9">
        <f>'[1]XRF Masses'!V45</f>
        <v>6.7999999999999996E-3</v>
      </c>
      <c r="X19" s="9">
        <f>'[1]XRF Masses'!W45</f>
        <v>8.9999999999999993E-3</v>
      </c>
      <c r="Y19" s="9">
        <f>'[1]XRF Masses'!X45</f>
        <v>0</v>
      </c>
      <c r="Z19" s="9">
        <f>'[1]XRF Masses'!Y45</f>
        <v>0</v>
      </c>
      <c r="AA19" s="9">
        <f>'[1]XRF Masses'!Z45</f>
        <v>0</v>
      </c>
      <c r="AB19" s="9">
        <f>'[1]XRF Masses'!AA45</f>
        <v>0.3367</v>
      </c>
      <c r="AC19" s="9">
        <f>'[1]XRF Masses'!AB45</f>
        <v>0</v>
      </c>
      <c r="AD19" s="9">
        <f>'[1]XRF Masses'!AC45</f>
        <v>1.0200000000000001E-2</v>
      </c>
      <c r="AE19" s="9">
        <f>'[1]XRF Masses'!AD45</f>
        <v>4.4999999999999997E-3</v>
      </c>
      <c r="AF19" s="9">
        <f>'[1]XRF Masses'!AE45</f>
        <v>0</v>
      </c>
      <c r="AG19" s="9">
        <f>'[1]XRF Masses'!AF45</f>
        <v>8.9999999999999993E-3</v>
      </c>
      <c r="AH19" s="9">
        <f>'[1]XRF Masses'!AG45</f>
        <v>0</v>
      </c>
      <c r="AI19" s="9">
        <f>'[1]XRF Masses'!AH45</f>
        <v>0</v>
      </c>
      <c r="AJ19" s="9">
        <f>'[1]XRF Masses'!AI45</f>
        <v>0</v>
      </c>
      <c r="AK19" s="9">
        <f>'[1]XRF Masses'!AJ45</f>
        <v>0</v>
      </c>
      <c r="AL19" s="9">
        <f>'[1]XRF Masses'!AK45</f>
        <v>0</v>
      </c>
      <c r="AM19" s="9">
        <f>'[1]XRF Masses'!AL45</f>
        <v>1.3599999999999999E-2</v>
      </c>
      <c r="AN19" s="9">
        <f>'[1]XRF Masses'!AM45</f>
        <v>2.2599999999999999E-2</v>
      </c>
      <c r="AO19" s="9">
        <f>'[1]XRF Masses'!AN45</f>
        <v>1.8100000000000002E-2</v>
      </c>
      <c r="AP19" s="9">
        <f>'[1]XRF Masses'!AO45</f>
        <v>7.1199999999999999E-2</v>
      </c>
      <c r="AQ19" s="9">
        <f>'[1]XRF Masses'!AP45</f>
        <v>0.104</v>
      </c>
      <c r="AR19" s="9">
        <f>'[1]XRF Masses'!AQ45</f>
        <v>5.6500000000000002E-2</v>
      </c>
      <c r="AS19" s="9">
        <f>'[1]XRF Masses'!AR45</f>
        <v>0</v>
      </c>
      <c r="AT19" s="9">
        <f>'[1]XRF Masses'!AS45</f>
        <v>0</v>
      </c>
      <c r="AU19" s="9">
        <f>'[1]XRF Masses'!AT45</f>
        <v>0</v>
      </c>
      <c r="AV19" s="9">
        <f>'[1]XRF Masses'!AU45</f>
        <v>0</v>
      </c>
      <c r="AW19" s="9">
        <f>'[1]Quartz Filter Masses'!C28</f>
        <v>69.77</v>
      </c>
      <c r="AX19" s="9">
        <f>'[1]Quartz Filter Masses'!D28</f>
        <v>3.6</v>
      </c>
      <c r="AY19">
        <f>'[1]Quartz Back Filter Masses'!C25</f>
        <v>5.0599999999999996</v>
      </c>
      <c r="AZ19" s="9">
        <f>'[1]Quartz Back Filter Masses'!D25</f>
        <v>0.09</v>
      </c>
      <c r="BA19" s="77">
        <f t="shared" si="0"/>
        <v>1.0184999999999889</v>
      </c>
      <c r="BB19" s="77">
        <f t="shared" si="1"/>
        <v>0.63082300838140015</v>
      </c>
      <c r="BC19" s="77">
        <f t="shared" si="2"/>
        <v>3.2685129967948201E-2</v>
      </c>
      <c r="BD19" s="92">
        <f t="shared" si="3"/>
        <v>4.3761757345975087E-2</v>
      </c>
      <c r="BE19" s="93">
        <f t="shared" si="4"/>
        <v>8.1712824919870494E-4</v>
      </c>
      <c r="BF19" s="82">
        <v>4.2142300000000001E-2</v>
      </c>
      <c r="BG19" s="83">
        <v>3.9535300000000002E-2</v>
      </c>
      <c r="BH19" s="50">
        <f t="shared" si="5"/>
        <v>6.3836351704751312E-2</v>
      </c>
      <c r="BI19" s="30">
        <f t="shared" si="6"/>
        <v>24.168116120856926</v>
      </c>
      <c r="BJ19" s="102">
        <f t="shared" si="7"/>
        <v>0</v>
      </c>
      <c r="BK19" s="102">
        <f t="shared" si="8"/>
        <v>0</v>
      </c>
      <c r="BL19" s="102">
        <f t="shared" si="9"/>
        <v>0</v>
      </c>
      <c r="BM19" s="102">
        <f t="shared" si="10"/>
        <v>1.3406956905531973E-3</v>
      </c>
      <c r="BN19" s="102">
        <f t="shared" si="11"/>
        <v>0</v>
      </c>
      <c r="BO19" s="102">
        <f t="shared" si="12"/>
        <v>3.027836639196247E-2</v>
      </c>
      <c r="BP19" s="102">
        <f t="shared" si="13"/>
        <v>4.8905731296108652E-2</v>
      </c>
      <c r="BQ19" s="102">
        <f t="shared" si="14"/>
        <v>2.3434886088324558E-2</v>
      </c>
      <c r="BR19" s="102">
        <f t="shared" si="15"/>
        <v>1.1636764011456423E-2</v>
      </c>
      <c r="BS19" s="102">
        <f t="shared" si="16"/>
        <v>1.6135806541171222E-4</v>
      </c>
      <c r="BT19" s="102">
        <f t="shared" si="17"/>
        <v>0</v>
      </c>
      <c r="BU19" s="102">
        <f t="shared" si="18"/>
        <v>3.7492021080956668E-4</v>
      </c>
      <c r="BV19" s="102">
        <f t="shared" si="19"/>
        <v>1.6135806541171222E-4</v>
      </c>
      <c r="BW19" s="102">
        <f t="shared" si="20"/>
        <v>2.1356214539785439E-4</v>
      </c>
      <c r="BX19" s="102">
        <f t="shared" si="21"/>
        <v>0</v>
      </c>
      <c r="BY19" s="102">
        <f t="shared" si="22"/>
        <v>0</v>
      </c>
      <c r="BZ19" s="102">
        <f t="shared" si="23"/>
        <v>0</v>
      </c>
      <c r="CA19" s="102">
        <f t="shared" si="24"/>
        <v>7.9895971506063982E-3</v>
      </c>
      <c r="CB19" s="102">
        <f t="shared" si="25"/>
        <v>0</v>
      </c>
      <c r="CC19" s="102">
        <f t="shared" si="26"/>
        <v>2.4203709811756834E-4</v>
      </c>
      <c r="CD19" s="102">
        <f t="shared" si="27"/>
        <v>1.0678107269892719E-4</v>
      </c>
      <c r="CE19" s="102">
        <f t="shared" si="28"/>
        <v>0</v>
      </c>
      <c r="CF19" s="102">
        <f t="shared" si="29"/>
        <v>2.1356214539785439E-4</v>
      </c>
      <c r="CG19" s="102">
        <f t="shared" si="30"/>
        <v>0</v>
      </c>
      <c r="CH19" s="102">
        <f t="shared" si="31"/>
        <v>0</v>
      </c>
      <c r="CI19" s="102">
        <f t="shared" si="32"/>
        <v>0</v>
      </c>
      <c r="CJ19" s="102">
        <f t="shared" si="33"/>
        <v>0</v>
      </c>
      <c r="CK19" s="102">
        <f t="shared" si="34"/>
        <v>0</v>
      </c>
      <c r="CL19" s="102">
        <f t="shared" si="35"/>
        <v>3.2271613082342443E-4</v>
      </c>
      <c r="CM19" s="102">
        <f t="shared" si="36"/>
        <v>5.3627827622127876E-4</v>
      </c>
      <c r="CN19" s="102">
        <f t="shared" si="37"/>
        <v>4.2949720352235168E-4</v>
      </c>
      <c r="CO19" s="102">
        <f t="shared" si="38"/>
        <v>1.6895138613696927E-3</v>
      </c>
      <c r="CP19" s="102">
        <f t="shared" si="39"/>
        <v>2.4678292357085399E-3</v>
      </c>
      <c r="CQ19" s="102">
        <f t="shared" si="40"/>
        <v>1.3406956905531973E-3</v>
      </c>
      <c r="CR19" s="102">
        <f t="shared" si="41"/>
        <v>0</v>
      </c>
      <c r="CS19" s="102">
        <f t="shared" si="42"/>
        <v>0</v>
      </c>
      <c r="CT19" s="102">
        <f t="shared" si="43"/>
        <v>0</v>
      </c>
      <c r="CU19" s="102">
        <f t="shared" si="44"/>
        <v>0</v>
      </c>
      <c r="CV19" s="30">
        <f t="shared" si="48"/>
        <v>14.917515072307554</v>
      </c>
      <c r="CW19" s="30">
        <f t="shared" si="49"/>
        <v>0.80734307749020284</v>
      </c>
      <c r="CX19" s="30">
        <f t="shared" si="45"/>
        <v>15.724858149797756</v>
      </c>
      <c r="CY19" s="2">
        <f t="shared" si="50"/>
        <v>24.159797760572182</v>
      </c>
      <c r="CZ19" s="18">
        <f t="shared" si="51"/>
        <v>0</v>
      </c>
      <c r="DA19" s="18">
        <f t="shared" si="52"/>
        <v>0</v>
      </c>
      <c r="DB19" s="18">
        <f t="shared" si="53"/>
        <v>0</v>
      </c>
      <c r="DC19" s="18">
        <f t="shared" si="54"/>
        <v>1.1012421592374901E-3</v>
      </c>
      <c r="DD19" s="18">
        <f t="shared" si="55"/>
        <v>0</v>
      </c>
      <c r="DE19" s="18">
        <f t="shared" si="56"/>
        <v>3.0175724823739349E-2</v>
      </c>
      <c r="DF19" s="18">
        <f t="shared" si="57"/>
        <v>4.8664861923234569E-2</v>
      </c>
      <c r="DG19" s="18">
        <f t="shared" si="58"/>
        <v>2.3118884864543696E-2</v>
      </c>
      <c r="DH19" s="18">
        <f t="shared" si="59"/>
        <v>1.1012937082874102E-2</v>
      </c>
      <c r="DI19" s="18">
        <f t="shared" si="60"/>
        <v>1.5657500824794033E-4</v>
      </c>
      <c r="DJ19" s="18">
        <f t="shared" si="61"/>
        <v>0</v>
      </c>
      <c r="DK19" s="18">
        <f t="shared" si="62"/>
        <v>2.9346936766607324E-4</v>
      </c>
      <c r="DL19" s="18">
        <f t="shared" si="63"/>
        <v>1.2784443724329561E-4</v>
      </c>
      <c r="DM19" s="18">
        <f t="shared" si="64"/>
        <v>0</v>
      </c>
      <c r="DN19" s="18">
        <f t="shared" si="65"/>
        <v>0</v>
      </c>
      <c r="DO19" s="18">
        <f t="shared" si="66"/>
        <v>0</v>
      </c>
      <c r="DP19" s="18">
        <f t="shared" si="67"/>
        <v>0</v>
      </c>
      <c r="DQ19" s="18">
        <f t="shared" si="68"/>
        <v>7.9181148896274815E-3</v>
      </c>
      <c r="DR19" s="18">
        <f t="shared" si="69"/>
        <v>0</v>
      </c>
      <c r="DS19" s="18">
        <f t="shared" si="70"/>
        <v>2.4203709811756834E-4</v>
      </c>
      <c r="DT19" s="18">
        <f t="shared" si="71"/>
        <v>9.4902824740501066E-5</v>
      </c>
      <c r="DU19" s="18">
        <f t="shared" si="72"/>
        <v>0</v>
      </c>
      <c r="DV19" s="18">
        <f t="shared" si="73"/>
        <v>2.0868357927207224E-4</v>
      </c>
      <c r="DW19" s="18">
        <f t="shared" si="74"/>
        <v>0</v>
      </c>
      <c r="DX19" s="18">
        <f t="shared" si="75"/>
        <v>0</v>
      </c>
      <c r="DY19" s="18">
        <f t="shared" si="76"/>
        <v>0</v>
      </c>
      <c r="DZ19" s="18">
        <f t="shared" si="77"/>
        <v>0</v>
      </c>
      <c r="EA19" s="18">
        <f t="shared" si="78"/>
        <v>0</v>
      </c>
      <c r="EB19" s="18">
        <f t="shared" si="79"/>
        <v>3.2271613082342443E-4</v>
      </c>
      <c r="EC19" s="18">
        <f t="shared" si="80"/>
        <v>5.3627827622127876E-4</v>
      </c>
      <c r="ED19" s="18">
        <f t="shared" si="81"/>
        <v>4.1306844195983087E-4</v>
      </c>
      <c r="EE19" s="18">
        <f t="shared" si="82"/>
        <v>1.6895138613696927E-3</v>
      </c>
      <c r="EF19" s="18">
        <f t="shared" si="83"/>
        <v>2.4678292357085399E-3</v>
      </c>
      <c r="EG19" s="18">
        <f t="shared" si="84"/>
        <v>1.3406956905531973E-3</v>
      </c>
      <c r="EH19" s="18">
        <f t="shared" si="85"/>
        <v>0</v>
      </c>
      <c r="EI19" s="18">
        <f t="shared" si="86"/>
        <v>0</v>
      </c>
      <c r="EJ19" s="18">
        <f t="shared" si="87"/>
        <v>0</v>
      </c>
      <c r="EK19" s="18">
        <f t="shared" si="88"/>
        <v>0</v>
      </c>
      <c r="EL19" s="2">
        <f t="shared" si="89"/>
        <v>14.909203526382985</v>
      </c>
      <c r="EM19" s="2">
        <f t="shared" si="90"/>
        <v>0.80734307749020284</v>
      </c>
      <c r="EN19" s="103">
        <f t="shared" si="97"/>
        <v>15.846431983568367</v>
      </c>
      <c r="EO19" s="103">
        <f t="shared" si="93"/>
        <v>24.159797760572182</v>
      </c>
      <c r="EP19" s="113">
        <f t="shared" si="46"/>
        <v>4.9261083743842367E-2</v>
      </c>
      <c r="EQ19" s="17">
        <f t="shared" si="47"/>
        <v>0.95073891625615758</v>
      </c>
      <c r="HH19">
        <f t="shared" si="94"/>
        <v>0.6172394653232337</v>
      </c>
      <c r="HI19" s="36">
        <f t="shared" si="91"/>
        <v>0.61936476031556897</v>
      </c>
      <c r="HJ19">
        <f t="shared" si="95"/>
        <v>3.3405296194909916E-2</v>
      </c>
      <c r="HK19">
        <f t="shared" si="92"/>
        <v>3.2091438358319645E-2</v>
      </c>
      <c r="HM19" s="36">
        <f t="shared" si="96"/>
        <v>0.65064476151814354</v>
      </c>
    </row>
    <row r="20" spans="1:221">
      <c r="A20" s="20">
        <f>'Phase CEMS PM Concentrations'!A20</f>
        <v>44342</v>
      </c>
      <c r="B20" s="20" t="str">
        <f>'Phase CEMS PM Concentrations'!B20</f>
        <v>BK Princess</v>
      </c>
      <c r="C20" s="20" t="str">
        <f>'Phase CEMS PM Concentrations'!C20</f>
        <v>Wet birch</v>
      </c>
      <c r="D20" s="20" t="str">
        <f>'Phase CEMS PM Concentrations'!D20</f>
        <v>Low</v>
      </c>
      <c r="E20" s="21" t="s">
        <v>465</v>
      </c>
      <c r="F20" s="48">
        <f>IF(ISBLANK('Phase CEMS PM Concentrations'!E20),"",'Phase CEMS PM Concentrations'!E20)</f>
        <v>44342.418055555558</v>
      </c>
      <c r="G20" s="48">
        <f>IF(ISBLANK('Phase CEMS PM Concentrations'!F20),"",'Phase CEMS PM Concentrations'!F20)</f>
        <v>44342.729166666664</v>
      </c>
      <c r="H20" s="9" t="str">
        <f>'[1]XRF Masses'!B46</f>
        <v>TF4721023</v>
      </c>
      <c r="I20" s="64" t="s">
        <v>466</v>
      </c>
      <c r="J20">
        <f>'[1]Teflon Filter Masses'!$R27</f>
        <v>0.23859999999999104</v>
      </c>
      <c r="K20" s="9">
        <f>'[1]XRF Masses'!J46</f>
        <v>0.18529999999999999</v>
      </c>
      <c r="L20" s="9">
        <f>'[1]XRF Masses'!K46</f>
        <v>0</v>
      </c>
      <c r="M20" s="9">
        <f>'[1]XRF Masses'!L46</f>
        <v>0</v>
      </c>
      <c r="N20" s="9">
        <f>'[1]XRF Masses'!M46</f>
        <v>0.313</v>
      </c>
      <c r="O20" s="9">
        <f>'[1]XRF Masses'!N46</f>
        <v>7.9000000000000008E-3</v>
      </c>
      <c r="P20" s="9">
        <f>'[1]XRF Masses'!O46</f>
        <v>1.258</v>
      </c>
      <c r="Q20" s="9">
        <f>'[1]XRF Masses'!P46</f>
        <v>1.8420000000000001</v>
      </c>
      <c r="R20" s="9">
        <f>'[1]XRF Masses'!Q46</f>
        <v>3.8730000000000002</v>
      </c>
      <c r="S20" s="9">
        <f>'[1]XRF Masses'!R46</f>
        <v>0.11749999999999999</v>
      </c>
      <c r="T20" s="9">
        <f>'[1]XRF Masses'!S46</f>
        <v>0</v>
      </c>
      <c r="U20" s="9">
        <f>'[1]XRF Masses'!T46</f>
        <v>0</v>
      </c>
      <c r="V20" s="9">
        <f>'[1]XRF Masses'!U46</f>
        <v>9.2700000000000005E-2</v>
      </c>
      <c r="W20" s="9">
        <f>'[1]XRF Masses'!V46</f>
        <v>0</v>
      </c>
      <c r="X20" s="9">
        <f>'[1]XRF Masses'!W46</f>
        <v>4.7500000000000001E-2</v>
      </c>
      <c r="Y20" s="9">
        <f>'[1]XRF Masses'!X46</f>
        <v>0</v>
      </c>
      <c r="Z20" s="9">
        <f>'[1]XRF Masses'!Y46</f>
        <v>7.9000000000000008E-3</v>
      </c>
      <c r="AA20" s="9">
        <f>'[1]XRF Masses'!Z46</f>
        <v>3.3999999999999998E-3</v>
      </c>
      <c r="AB20" s="9">
        <f>'[1]XRF Masses'!AA46</f>
        <v>0.3921</v>
      </c>
      <c r="AC20" s="9">
        <f>'[1]XRF Masses'!AB46</f>
        <v>0</v>
      </c>
      <c r="AD20" s="9">
        <f>'[1]XRF Masses'!AC46</f>
        <v>2.3E-3</v>
      </c>
      <c r="AE20" s="9">
        <f>'[1]XRF Masses'!AD46</f>
        <v>0</v>
      </c>
      <c r="AF20" s="9">
        <f>'[1]XRF Masses'!AE46</f>
        <v>1.1000000000000001E-3</v>
      </c>
      <c r="AG20" s="9">
        <f>'[1]XRF Masses'!AF46</f>
        <v>8.9999999999999993E-3</v>
      </c>
      <c r="AH20" s="9">
        <f>'[1]XRF Masses'!AG46</f>
        <v>1.47E-2</v>
      </c>
      <c r="AI20" s="9">
        <f>'[1]XRF Masses'!AH46</f>
        <v>0</v>
      </c>
      <c r="AJ20" s="9">
        <f>'[1]XRF Masses'!AI46</f>
        <v>0</v>
      </c>
      <c r="AK20" s="9">
        <f>'[1]XRF Masses'!AJ46</f>
        <v>0</v>
      </c>
      <c r="AL20" s="9">
        <f>'[1]XRF Masses'!AK46</f>
        <v>0</v>
      </c>
      <c r="AM20" s="9">
        <f>'[1]XRF Masses'!AL46</f>
        <v>0</v>
      </c>
      <c r="AN20" s="9">
        <f>'[1]XRF Masses'!AM46</f>
        <v>2.0299999999999999E-2</v>
      </c>
      <c r="AO20" s="9">
        <f>'[1]XRF Masses'!AN46</f>
        <v>3.6200000000000003E-2</v>
      </c>
      <c r="AP20" s="9">
        <f>'[1]XRF Masses'!AO46</f>
        <v>0</v>
      </c>
      <c r="AQ20" s="9">
        <f>'[1]XRF Masses'!AP46</f>
        <v>2.4899999999999999E-2</v>
      </c>
      <c r="AR20" s="9">
        <f>'[1]XRF Masses'!AQ46</f>
        <v>0</v>
      </c>
      <c r="AS20" s="9">
        <f>'[1]XRF Masses'!AR46</f>
        <v>0</v>
      </c>
      <c r="AT20" s="9">
        <f>'[1]XRF Masses'!AS46</f>
        <v>0</v>
      </c>
      <c r="AU20" s="9">
        <f>'[1]XRF Masses'!AT46</f>
        <v>0</v>
      </c>
      <c r="AV20" s="9">
        <f>'[1]XRF Masses'!AU46</f>
        <v>0</v>
      </c>
      <c r="AW20" s="9">
        <f>'[1]Quartz Filter Masses'!C29</f>
        <v>17.510000000000002</v>
      </c>
      <c r="AX20" s="9">
        <f>'[1]Quartz Filter Masses'!D29</f>
        <v>1.83</v>
      </c>
      <c r="AY20">
        <f>'[1]Quartz Back Filter Masses'!C26</f>
        <v>6.3</v>
      </c>
      <c r="AZ20" s="9">
        <f>'[1]Quartz Back Filter Masses'!D26</f>
        <v>0.15</v>
      </c>
      <c r="BA20" s="77">
        <f t="shared" si="0"/>
        <v>0.23279999999996903</v>
      </c>
      <c r="BB20" s="77">
        <f t="shared" si="1"/>
        <v>0.1563438716800189</v>
      </c>
      <c r="BC20" s="77">
        <f t="shared" si="2"/>
        <v>1.6614941067040336E-2</v>
      </c>
      <c r="BD20" s="92">
        <f t="shared" si="3"/>
        <v>5.5019968779379466E-2</v>
      </c>
      <c r="BE20" s="93">
        <f t="shared" si="4"/>
        <v>1.361880415331175E-3</v>
      </c>
      <c r="BF20" s="82">
        <v>0.46992499999999998</v>
      </c>
      <c r="BG20" s="83">
        <v>0.43864900000000001</v>
      </c>
      <c r="BH20" s="50">
        <f t="shared" si="5"/>
        <v>6.8846346032353928E-2</v>
      </c>
      <c r="BI20" s="30">
        <f t="shared" si="6"/>
        <v>0.49539820184065336</v>
      </c>
      <c r="BJ20" s="102">
        <f t="shared" si="7"/>
        <v>3.9431824227270309E-4</v>
      </c>
      <c r="BK20" s="102">
        <f t="shared" si="8"/>
        <v>0</v>
      </c>
      <c r="BL20" s="102">
        <f t="shared" si="9"/>
        <v>0</v>
      </c>
      <c r="BM20" s="102">
        <f t="shared" si="10"/>
        <v>6.6606373357450653E-4</v>
      </c>
      <c r="BN20" s="102">
        <f t="shared" si="11"/>
        <v>1.6811193275522694E-5</v>
      </c>
      <c r="BO20" s="102">
        <f t="shared" si="12"/>
        <v>2.6770229291908283E-3</v>
      </c>
      <c r="BP20" s="102">
        <f t="shared" si="13"/>
        <v>3.9197744320902273E-3</v>
      </c>
      <c r="BQ20" s="102">
        <f t="shared" si="14"/>
        <v>8.24174070330372E-3</v>
      </c>
      <c r="BR20" s="102">
        <f t="shared" si="15"/>
        <v>2.5003989998404001E-4</v>
      </c>
      <c r="BS20" s="102">
        <f t="shared" si="16"/>
        <v>0</v>
      </c>
      <c r="BT20" s="102">
        <f t="shared" si="17"/>
        <v>0</v>
      </c>
      <c r="BU20" s="102">
        <f t="shared" si="18"/>
        <v>1.9726552109379159E-4</v>
      </c>
      <c r="BV20" s="102">
        <f t="shared" si="19"/>
        <v>0</v>
      </c>
      <c r="BW20" s="102">
        <f t="shared" si="20"/>
        <v>1.0107995956801618E-4</v>
      </c>
      <c r="BX20" s="102">
        <f t="shared" si="21"/>
        <v>0</v>
      </c>
      <c r="BY20" s="102">
        <f t="shared" si="22"/>
        <v>1.6811193275522694E-5</v>
      </c>
      <c r="BZ20" s="102">
        <f t="shared" si="23"/>
        <v>7.2351971059211574E-6</v>
      </c>
      <c r="CA20" s="102">
        <f t="shared" si="24"/>
        <v>8.3438846624461348E-4</v>
      </c>
      <c r="CB20" s="102">
        <f t="shared" si="25"/>
        <v>0</v>
      </c>
      <c r="CC20" s="102">
        <f t="shared" si="26"/>
        <v>4.8943980422407831E-6</v>
      </c>
      <c r="CD20" s="102">
        <f t="shared" si="27"/>
        <v>0</v>
      </c>
      <c r="CE20" s="102">
        <f t="shared" si="28"/>
        <v>2.3407990636803748E-6</v>
      </c>
      <c r="CF20" s="102">
        <f t="shared" si="29"/>
        <v>1.9151992339203065E-5</v>
      </c>
      <c r="CG20" s="102">
        <f t="shared" si="30"/>
        <v>3.1281587487365004E-5</v>
      </c>
      <c r="CH20" s="102">
        <f t="shared" si="31"/>
        <v>0</v>
      </c>
      <c r="CI20" s="102">
        <f t="shared" si="32"/>
        <v>0</v>
      </c>
      <c r="CJ20" s="102">
        <f t="shared" si="33"/>
        <v>0</v>
      </c>
      <c r="CK20" s="102">
        <f t="shared" si="34"/>
        <v>0</v>
      </c>
      <c r="CL20" s="102">
        <f t="shared" si="35"/>
        <v>0</v>
      </c>
      <c r="CM20" s="102">
        <f t="shared" si="36"/>
        <v>4.3198382720646911E-5</v>
      </c>
      <c r="CN20" s="102">
        <f t="shared" si="37"/>
        <v>7.7033569186572338E-5</v>
      </c>
      <c r="CO20" s="102">
        <f t="shared" si="38"/>
        <v>0</v>
      </c>
      <c r="CP20" s="102">
        <f t="shared" si="39"/>
        <v>5.2987178805128472E-5</v>
      </c>
      <c r="CQ20" s="102">
        <f t="shared" si="40"/>
        <v>0</v>
      </c>
      <c r="CR20" s="102">
        <f t="shared" si="41"/>
        <v>0</v>
      </c>
      <c r="CS20" s="102">
        <f t="shared" si="42"/>
        <v>0</v>
      </c>
      <c r="CT20" s="102">
        <f t="shared" si="43"/>
        <v>0</v>
      </c>
      <c r="CU20" s="102">
        <f t="shared" si="44"/>
        <v>0</v>
      </c>
      <c r="CV20" s="30">
        <f t="shared" si="48"/>
        <v>0.23933890993608226</v>
      </c>
      <c r="CW20" s="30">
        <f t="shared" si="49"/>
        <v>3.4979450570255852E-2</v>
      </c>
      <c r="CX20" s="30">
        <f t="shared" si="45"/>
        <v>0.27431836050633812</v>
      </c>
      <c r="CY20" s="2">
        <f t="shared" si="50"/>
        <v>0.48707984155591122</v>
      </c>
      <c r="CZ20" s="18">
        <f t="shared" si="51"/>
        <v>0</v>
      </c>
      <c r="DA20" s="18">
        <f t="shared" si="52"/>
        <v>0</v>
      </c>
      <c r="DB20" s="18">
        <f t="shared" si="53"/>
        <v>0</v>
      </c>
      <c r="DC20" s="18">
        <f t="shared" si="54"/>
        <v>4.2661020225879924E-4</v>
      </c>
      <c r="DD20" s="18">
        <f t="shared" si="55"/>
        <v>4.9329453170965615E-6</v>
      </c>
      <c r="DE20" s="18">
        <f t="shared" si="56"/>
        <v>2.5743813609677077E-3</v>
      </c>
      <c r="DF20" s="18">
        <f t="shared" si="57"/>
        <v>3.6789050592161469E-3</v>
      </c>
      <c r="DG20" s="18">
        <f t="shared" si="58"/>
        <v>7.9257394795228583E-3</v>
      </c>
      <c r="DH20" s="18">
        <f t="shared" si="59"/>
        <v>0</v>
      </c>
      <c r="DI20" s="18">
        <f t="shared" si="60"/>
        <v>0</v>
      </c>
      <c r="DJ20" s="18">
        <f t="shared" si="61"/>
        <v>0</v>
      </c>
      <c r="DK20" s="18">
        <f t="shared" si="62"/>
        <v>1.1581467795029811E-4</v>
      </c>
      <c r="DL20" s="18">
        <f t="shared" si="63"/>
        <v>0</v>
      </c>
      <c r="DM20" s="18">
        <f t="shared" si="64"/>
        <v>0</v>
      </c>
      <c r="DN20" s="18">
        <f t="shared" si="65"/>
        <v>0</v>
      </c>
      <c r="DO20" s="18">
        <f t="shared" si="66"/>
        <v>0</v>
      </c>
      <c r="DP20" s="18">
        <f t="shared" si="67"/>
        <v>7.2351971059211574E-6</v>
      </c>
      <c r="DQ20" s="18">
        <f t="shared" si="68"/>
        <v>7.6290620526569598E-4</v>
      </c>
      <c r="DR20" s="18">
        <f t="shared" si="69"/>
        <v>0</v>
      </c>
      <c r="DS20" s="18">
        <f t="shared" si="70"/>
        <v>4.8943980422407831E-6</v>
      </c>
      <c r="DT20" s="18">
        <f t="shared" si="71"/>
        <v>0</v>
      </c>
      <c r="DU20" s="18">
        <f t="shared" si="72"/>
        <v>2.3407990636803748E-6</v>
      </c>
      <c r="DV20" s="18">
        <f t="shared" si="73"/>
        <v>1.4273426213420904E-5</v>
      </c>
      <c r="DW20" s="18">
        <f t="shared" si="74"/>
        <v>3.1281587487365004E-5</v>
      </c>
      <c r="DX20" s="18">
        <f t="shared" si="75"/>
        <v>0</v>
      </c>
      <c r="DY20" s="18">
        <f t="shared" si="76"/>
        <v>0</v>
      </c>
      <c r="DZ20" s="18">
        <f t="shared" si="77"/>
        <v>0</v>
      </c>
      <c r="EA20" s="18">
        <f t="shared" si="78"/>
        <v>0</v>
      </c>
      <c r="EB20" s="18">
        <f t="shared" si="79"/>
        <v>0</v>
      </c>
      <c r="EC20" s="18">
        <f t="shared" si="80"/>
        <v>4.3198382720646911E-5</v>
      </c>
      <c r="ED20" s="18">
        <f t="shared" si="81"/>
        <v>6.0604807624051543E-5</v>
      </c>
      <c r="EE20" s="18">
        <f t="shared" si="82"/>
        <v>0</v>
      </c>
      <c r="EF20" s="18">
        <f t="shared" si="83"/>
        <v>5.2987178805128472E-5</v>
      </c>
      <c r="EG20" s="18">
        <f t="shared" si="84"/>
        <v>0</v>
      </c>
      <c r="EH20" s="18">
        <f t="shared" si="85"/>
        <v>0</v>
      </c>
      <c r="EI20" s="18">
        <f t="shared" si="86"/>
        <v>0</v>
      </c>
      <c r="EJ20" s="18">
        <f t="shared" si="87"/>
        <v>0</v>
      </c>
      <c r="EK20" s="18">
        <f t="shared" si="88"/>
        <v>0</v>
      </c>
      <c r="EL20" s="2">
        <f t="shared" si="89"/>
        <v>0.23102736401151397</v>
      </c>
      <c r="EM20" s="2">
        <f t="shared" si="90"/>
        <v>3.4979450570255852E-2</v>
      </c>
      <c r="EN20" s="103">
        <f t="shared" si="97"/>
        <v>0.28171292028933087</v>
      </c>
      <c r="EO20" s="103">
        <f t="shared" si="93"/>
        <v>0.48707984155591122</v>
      </c>
      <c r="EP20" s="113">
        <f t="shared" si="46"/>
        <v>9.6062992125984251E-2</v>
      </c>
      <c r="EQ20" s="17">
        <f t="shared" si="47"/>
        <v>0.90393700787401576</v>
      </c>
      <c r="HH20">
        <f t="shared" si="94"/>
        <v>0.48312430090948633</v>
      </c>
      <c r="HI20" s="36">
        <f t="shared" si="91"/>
        <v>0.67158020481116709</v>
      </c>
      <c r="HJ20">
        <f t="shared" si="95"/>
        <v>7.0608755623838781E-2</v>
      </c>
      <c r="HK20">
        <f t="shared" si="92"/>
        <v>7.1370021765646677E-2</v>
      </c>
      <c r="HM20" s="36">
        <f t="shared" si="96"/>
        <v>0.55373305653332516</v>
      </c>
    </row>
    <row r="21" spans="1:221" s="36" customFormat="1">
      <c r="A21" s="20">
        <f>'Phase CEMS PM Concentrations'!A21</f>
        <v>44343</v>
      </c>
      <c r="B21" s="20" t="str">
        <f>'Phase CEMS PM Concentrations'!B21</f>
        <v>BK Princess</v>
      </c>
      <c r="C21" s="20" t="str">
        <f>'Phase CEMS PM Concentrations'!C21</f>
        <v>Wet birch</v>
      </c>
      <c r="D21" s="20" t="str">
        <f>'Phase CEMS PM Concentrations'!D21</f>
        <v>Startup</v>
      </c>
      <c r="E21" s="21" t="s">
        <v>467</v>
      </c>
      <c r="F21" s="48">
        <f>IF(ISBLANK('Phase CEMS PM Concentrations'!E21),"",'Phase CEMS PM Concentrations'!E21)</f>
        <v>44343.367361111108</v>
      </c>
      <c r="G21" s="48">
        <f>IF(ISBLANK('Phase CEMS PM Concentrations'!F21),"",'Phase CEMS PM Concentrations'!F21)</f>
        <v>44343.402083333334</v>
      </c>
      <c r="H21" s="9" t="str">
        <f>'[1]XRF Masses'!B47</f>
        <v>TF4721025</v>
      </c>
      <c r="I21" s="64" t="s">
        <v>468</v>
      </c>
      <c r="J21">
        <f>'[1]Teflon Filter Masses'!$R28</f>
        <v>0.51890000000000214</v>
      </c>
      <c r="K21" s="9">
        <f>'[1]XRF Masses'!J47</f>
        <v>0</v>
      </c>
      <c r="L21" s="9">
        <f>'[1]XRF Masses'!K47</f>
        <v>8.0199999999999994E-2</v>
      </c>
      <c r="M21" s="9">
        <f>'[1]XRF Masses'!L47</f>
        <v>0</v>
      </c>
      <c r="N21" s="9">
        <f>'[1]XRF Masses'!M47</f>
        <v>4.4999999999999997E-3</v>
      </c>
      <c r="O21" s="9">
        <f>'[1]XRF Masses'!N47</f>
        <v>0</v>
      </c>
      <c r="P21" s="9">
        <f>'[1]XRF Masses'!O47</f>
        <v>0.47349999999999998</v>
      </c>
      <c r="Q21" s="9">
        <f>'[1]XRF Masses'!P47</f>
        <v>0.90849999999999997</v>
      </c>
      <c r="R21" s="9">
        <f>'[1]XRF Masses'!Q47</f>
        <v>1.133</v>
      </c>
      <c r="S21" s="9">
        <f>'[1]XRF Masses'!R47</f>
        <v>0.13109999999999999</v>
      </c>
      <c r="T21" s="9">
        <f>'[1]XRF Masses'!S47</f>
        <v>0</v>
      </c>
      <c r="U21" s="9">
        <f>'[1]XRF Masses'!T47</f>
        <v>0</v>
      </c>
      <c r="V21" s="9">
        <f>'[1]XRF Masses'!U47</f>
        <v>0.3322</v>
      </c>
      <c r="W21" s="9">
        <f>'[1]XRF Masses'!V47</f>
        <v>3.0499999999999999E-2</v>
      </c>
      <c r="X21" s="9">
        <f>'[1]XRF Masses'!W47</f>
        <v>0.75939999999999996</v>
      </c>
      <c r="Y21" s="9">
        <f>'[1]XRF Masses'!X47</f>
        <v>0</v>
      </c>
      <c r="Z21" s="9">
        <f>'[1]XRF Masses'!Y47</f>
        <v>5.9900000000000002E-2</v>
      </c>
      <c r="AA21" s="9">
        <f>'[1]XRF Masses'!Z47</f>
        <v>0</v>
      </c>
      <c r="AB21" s="9">
        <f>'[1]XRF Masses'!AA47</f>
        <v>0.36720000000000003</v>
      </c>
      <c r="AC21" s="9">
        <f>'[1]XRF Masses'!AB47</f>
        <v>3.3999999999999998E-3</v>
      </c>
      <c r="AD21" s="9">
        <f>'[1]XRF Masses'!AC47</f>
        <v>0</v>
      </c>
      <c r="AE21" s="9">
        <f>'[1]XRF Masses'!AD47</f>
        <v>0</v>
      </c>
      <c r="AF21" s="9">
        <f>'[1]XRF Masses'!AE47</f>
        <v>6.7999999999999996E-3</v>
      </c>
      <c r="AG21" s="9">
        <f>'[1]XRF Masses'!AF47</f>
        <v>6.7999999999999996E-3</v>
      </c>
      <c r="AH21" s="9">
        <f>'[1]XRF Masses'!AG47</f>
        <v>4.4999999999999997E-3</v>
      </c>
      <c r="AI21" s="9">
        <f>'[1]XRF Masses'!AH47</f>
        <v>0</v>
      </c>
      <c r="AJ21" s="9">
        <f>'[1]XRF Masses'!AI47</f>
        <v>0</v>
      </c>
      <c r="AK21" s="9">
        <f>'[1]XRF Masses'!AJ47</f>
        <v>0</v>
      </c>
      <c r="AL21" s="9">
        <f>'[1]XRF Masses'!AK47</f>
        <v>0</v>
      </c>
      <c r="AM21" s="9">
        <f>'[1]XRF Masses'!AL47</f>
        <v>4.4999999999999997E-3</v>
      </c>
      <c r="AN21" s="9">
        <f>'[1]XRF Masses'!AM47</f>
        <v>6.7999999999999996E-3</v>
      </c>
      <c r="AO21" s="9">
        <f>'[1]XRF Masses'!AN47</f>
        <v>0</v>
      </c>
      <c r="AP21" s="9">
        <f>'[1]XRF Masses'!AO47</f>
        <v>8.5900000000000004E-2</v>
      </c>
      <c r="AQ21" s="9">
        <f>'[1]XRF Masses'!AP47</f>
        <v>0</v>
      </c>
      <c r="AR21" s="9">
        <f>'[1]XRF Masses'!AQ47</f>
        <v>0</v>
      </c>
      <c r="AS21" s="9">
        <f>'[1]XRF Masses'!AR47</f>
        <v>0</v>
      </c>
      <c r="AT21" s="9">
        <f>'[1]XRF Masses'!AS47</f>
        <v>3.3999999999999998E-3</v>
      </c>
      <c r="AU21" s="9">
        <f>'[1]XRF Masses'!AT47</f>
        <v>4.4999999999999997E-3</v>
      </c>
      <c r="AV21" s="9">
        <f>'[1]XRF Masses'!AU47</f>
        <v>2.3699999999999999E-2</v>
      </c>
      <c r="AW21" s="9">
        <f>'[1]Quartz Filter Masses'!C30</f>
        <v>31.6</v>
      </c>
      <c r="AX21" s="9">
        <f>'[1]Quartz Filter Masses'!D30</f>
        <v>2.91</v>
      </c>
      <c r="AY21">
        <f>'[1]Quartz Back Filter Masses'!C27</f>
        <v>5.44</v>
      </c>
      <c r="AZ21" s="9">
        <f>'[1]Quartz Back Filter Masses'!D27</f>
        <v>0.08</v>
      </c>
      <c r="BA21" s="77">
        <f t="shared" si="0"/>
        <v>0.51309999999998013</v>
      </c>
      <c r="BB21" s="77">
        <f t="shared" si="1"/>
        <v>0.28426983869346067</v>
      </c>
      <c r="BC21" s="77">
        <f t="shared" si="2"/>
        <v>2.6420480057424797E-2</v>
      </c>
      <c r="BD21" s="92">
        <f t="shared" si="3"/>
        <v>4.7211854398147401E-2</v>
      </c>
      <c r="BE21" s="93">
        <f t="shared" si="4"/>
        <v>7.2633622150996007E-4</v>
      </c>
      <c r="BF21" s="82">
        <v>5.0906600000000003E-2</v>
      </c>
      <c r="BG21" s="83">
        <v>4.78675E-2</v>
      </c>
      <c r="BH21" s="50">
        <f t="shared" si="5"/>
        <v>6.1536374413940553E-2</v>
      </c>
      <c r="BI21" s="30">
        <f t="shared" si="6"/>
        <v>10.079243162968654</v>
      </c>
      <c r="BJ21" s="102">
        <f t="shared" si="7"/>
        <v>0</v>
      </c>
      <c r="BK21" s="102">
        <f t="shared" si="8"/>
        <v>1.57543422660323E-3</v>
      </c>
      <c r="BL21" s="102">
        <f t="shared" si="9"/>
        <v>0</v>
      </c>
      <c r="BM21" s="102">
        <f t="shared" si="10"/>
        <v>8.8397182290704925E-5</v>
      </c>
      <c r="BN21" s="102">
        <f t="shared" si="11"/>
        <v>0</v>
      </c>
      <c r="BO21" s="102">
        <f t="shared" si="12"/>
        <v>9.3013479588108395E-3</v>
      </c>
      <c r="BP21" s="102">
        <f t="shared" si="13"/>
        <v>1.7846408913578984E-2</v>
      </c>
      <c r="BQ21" s="102">
        <f t="shared" si="14"/>
        <v>2.2256446118970822E-2</v>
      </c>
      <c r="BR21" s="102">
        <f t="shared" si="15"/>
        <v>2.5753045774025369E-3</v>
      </c>
      <c r="BS21" s="102">
        <f t="shared" si="16"/>
        <v>0</v>
      </c>
      <c r="BT21" s="102">
        <f t="shared" si="17"/>
        <v>0</v>
      </c>
      <c r="BU21" s="102">
        <f t="shared" si="18"/>
        <v>6.5256764348827065E-3</v>
      </c>
      <c r="BV21" s="102">
        <f t="shared" si="19"/>
        <v>5.9913645774811123E-4</v>
      </c>
      <c r="BW21" s="102">
        <f t="shared" si="20"/>
        <v>1.4917515607013626E-2</v>
      </c>
      <c r="BX21" s="102">
        <f t="shared" si="21"/>
        <v>0</v>
      </c>
      <c r="BY21" s="102">
        <f t="shared" si="22"/>
        <v>1.1766647153807169E-3</v>
      </c>
      <c r="BZ21" s="102">
        <f t="shared" si="23"/>
        <v>0</v>
      </c>
      <c r="CA21" s="102">
        <f t="shared" si="24"/>
        <v>7.2132100749215233E-3</v>
      </c>
      <c r="CB21" s="102">
        <f t="shared" si="25"/>
        <v>6.6788982175199283E-5</v>
      </c>
      <c r="CC21" s="102">
        <f t="shared" si="26"/>
        <v>0</v>
      </c>
      <c r="CD21" s="102">
        <f t="shared" si="27"/>
        <v>0</v>
      </c>
      <c r="CE21" s="102">
        <f t="shared" si="28"/>
        <v>1.3357796435039857E-4</v>
      </c>
      <c r="CF21" s="102">
        <f t="shared" si="29"/>
        <v>1.3357796435039857E-4</v>
      </c>
      <c r="CG21" s="102">
        <f t="shared" si="30"/>
        <v>8.8397182290704925E-5</v>
      </c>
      <c r="CH21" s="102">
        <f t="shared" si="31"/>
        <v>0</v>
      </c>
      <c r="CI21" s="102">
        <f t="shared" si="32"/>
        <v>0</v>
      </c>
      <c r="CJ21" s="102">
        <f t="shared" si="33"/>
        <v>0</v>
      </c>
      <c r="CK21" s="102">
        <f t="shared" si="34"/>
        <v>0</v>
      </c>
      <c r="CL21" s="102">
        <f t="shared" si="35"/>
        <v>8.8397182290704925E-5</v>
      </c>
      <c r="CM21" s="102">
        <f t="shared" si="36"/>
        <v>1.3357796435039857E-4</v>
      </c>
      <c r="CN21" s="102">
        <f t="shared" si="37"/>
        <v>0</v>
      </c>
      <c r="CO21" s="102">
        <f t="shared" si="38"/>
        <v>1.687403990838123E-3</v>
      </c>
      <c r="CP21" s="102">
        <f t="shared" si="39"/>
        <v>0</v>
      </c>
      <c r="CQ21" s="102">
        <f t="shared" si="40"/>
        <v>0</v>
      </c>
      <c r="CR21" s="102">
        <f t="shared" si="41"/>
        <v>0</v>
      </c>
      <c r="CS21" s="102">
        <f t="shared" si="42"/>
        <v>6.6788982175199283E-5</v>
      </c>
      <c r="CT21" s="102">
        <f t="shared" si="43"/>
        <v>8.8397182290704925E-5</v>
      </c>
      <c r="CU21" s="102">
        <f t="shared" si="44"/>
        <v>4.6555849339771258E-4</v>
      </c>
      <c r="CV21" s="30">
        <f t="shared" si="48"/>
        <v>5.0112604528381075</v>
      </c>
      <c r="CW21" s="30">
        <f t="shared" si="49"/>
        <v>0.53768226386632312</v>
      </c>
      <c r="CX21" s="30">
        <f t="shared" si="45"/>
        <v>5.5489427167044303</v>
      </c>
      <c r="CY21" s="2">
        <f t="shared" si="50"/>
        <v>10.070924802683912</v>
      </c>
      <c r="CZ21" s="18">
        <f t="shared" si="51"/>
        <v>0</v>
      </c>
      <c r="DA21" s="18">
        <f t="shared" si="52"/>
        <v>1.57543422660323E-3</v>
      </c>
      <c r="DB21" s="18">
        <f t="shared" si="53"/>
        <v>0</v>
      </c>
      <c r="DC21" s="18">
        <f t="shared" si="54"/>
        <v>0</v>
      </c>
      <c r="DD21" s="18">
        <f t="shared" si="55"/>
        <v>0</v>
      </c>
      <c r="DE21" s="18">
        <f t="shared" si="56"/>
        <v>9.1987063905877194E-3</v>
      </c>
      <c r="DF21" s="18">
        <f t="shared" si="57"/>
        <v>1.7605539540704904E-2</v>
      </c>
      <c r="DG21" s="18">
        <f t="shared" si="58"/>
        <v>2.194044489518996E-2</v>
      </c>
      <c r="DH21" s="18">
        <f t="shared" si="59"/>
        <v>1.9514776488202146E-3</v>
      </c>
      <c r="DI21" s="18">
        <f t="shared" si="60"/>
        <v>0</v>
      </c>
      <c r="DJ21" s="18">
        <f t="shared" si="61"/>
        <v>0</v>
      </c>
      <c r="DK21" s="18">
        <f t="shared" si="62"/>
        <v>6.4442255917392128E-3</v>
      </c>
      <c r="DL21" s="18">
        <f t="shared" si="63"/>
        <v>5.6562282957969465E-4</v>
      </c>
      <c r="DM21" s="18">
        <f t="shared" si="64"/>
        <v>1.4639719712166509E-2</v>
      </c>
      <c r="DN21" s="18">
        <f t="shared" si="65"/>
        <v>0</v>
      </c>
      <c r="DO21" s="18">
        <f t="shared" si="66"/>
        <v>1.1526961078931785E-3</v>
      </c>
      <c r="DP21" s="18">
        <f t="shared" si="67"/>
        <v>0</v>
      </c>
      <c r="DQ21" s="18">
        <f t="shared" si="68"/>
        <v>7.1417278139426056E-3</v>
      </c>
      <c r="DR21" s="18">
        <f t="shared" si="69"/>
        <v>4.0674012770567749E-5</v>
      </c>
      <c r="DS21" s="18">
        <f t="shared" si="70"/>
        <v>0</v>
      </c>
      <c r="DT21" s="18">
        <f t="shared" si="71"/>
        <v>0</v>
      </c>
      <c r="DU21" s="18">
        <f t="shared" si="72"/>
        <v>1.3357796435039857E-4</v>
      </c>
      <c r="DV21" s="18">
        <f t="shared" si="73"/>
        <v>1.2869939822461639E-4</v>
      </c>
      <c r="DW21" s="18">
        <f t="shared" si="74"/>
        <v>8.8397182290704925E-5</v>
      </c>
      <c r="DX21" s="18">
        <f t="shared" si="75"/>
        <v>0</v>
      </c>
      <c r="DY21" s="18">
        <f t="shared" si="76"/>
        <v>0</v>
      </c>
      <c r="DZ21" s="18">
        <f t="shared" si="77"/>
        <v>0</v>
      </c>
      <c r="EA21" s="18">
        <f t="shared" si="78"/>
        <v>0</v>
      </c>
      <c r="EB21" s="18">
        <f t="shared" si="79"/>
        <v>8.8397182290704925E-5</v>
      </c>
      <c r="EC21" s="18">
        <f t="shared" si="80"/>
        <v>1.3357796435039857E-4</v>
      </c>
      <c r="ED21" s="18">
        <f t="shared" si="81"/>
        <v>0</v>
      </c>
      <c r="EE21" s="18">
        <f t="shared" si="82"/>
        <v>1.687403990838123E-3</v>
      </c>
      <c r="EF21" s="18">
        <f t="shared" si="83"/>
        <v>0</v>
      </c>
      <c r="EG21" s="18">
        <f t="shared" si="84"/>
        <v>0</v>
      </c>
      <c r="EH21" s="18">
        <f t="shared" si="85"/>
        <v>0</v>
      </c>
      <c r="EI21" s="18">
        <f t="shared" si="86"/>
        <v>5.7430826854776045E-5</v>
      </c>
      <c r="EJ21" s="18">
        <f t="shared" si="87"/>
        <v>8.8397182290704925E-5</v>
      </c>
      <c r="EK21" s="18">
        <f t="shared" si="88"/>
        <v>4.5141728091351746E-4</v>
      </c>
      <c r="EL21" s="2">
        <f t="shared" si="89"/>
        <v>5.0029489069135389</v>
      </c>
      <c r="EM21" s="2">
        <f t="shared" si="90"/>
        <v>0.53768226386632312</v>
      </c>
      <c r="EN21" s="103">
        <f t="shared" si="97"/>
        <v>5.625744738522263</v>
      </c>
      <c r="EO21" s="103">
        <f t="shared" si="93"/>
        <v>10.070924802683912</v>
      </c>
      <c r="EP21" s="113">
        <f t="shared" si="46"/>
        <v>8.5037989479836332E-2</v>
      </c>
      <c r="EQ21" s="17">
        <f t="shared" si="47"/>
        <v>0.91496201052016357</v>
      </c>
      <c r="ES21"/>
      <c r="HH21">
        <f t="shared" si="94"/>
        <v>0.49718618469783338</v>
      </c>
      <c r="HI21" s="36">
        <f t="shared" si="91"/>
        <v>0.55402424224024882</v>
      </c>
      <c r="HJ21">
        <f t="shared" si="95"/>
        <v>5.3345499773413421E-2</v>
      </c>
      <c r="HK21">
        <f t="shared" si="92"/>
        <v>5.1491873041172913E-2</v>
      </c>
      <c r="HM21" s="36">
        <f t="shared" si="96"/>
        <v>0.55053168447124678</v>
      </c>
    </row>
    <row r="22" spans="1:221" s="101" customFormat="1">
      <c r="A22" s="20">
        <f>'Phase CEMS PM Concentrations'!A22</f>
        <v>44343</v>
      </c>
      <c r="B22" s="20" t="str">
        <f>'Phase CEMS PM Concentrations'!B22</f>
        <v>BK Princess</v>
      </c>
      <c r="C22" s="20" t="str">
        <f>'Phase CEMS PM Concentrations'!C22</f>
        <v>Wet birch</v>
      </c>
      <c r="D22" s="20" t="str">
        <f>'Phase CEMS PM Concentrations'!D22</f>
        <v>Low</v>
      </c>
      <c r="E22" s="21" t="s">
        <v>469</v>
      </c>
      <c r="F22" s="48">
        <f>IF(ISBLANK('Phase CEMS PM Concentrations'!E22),"",'Phase CEMS PM Concentrations'!E22)</f>
        <v>44343.403819444444</v>
      </c>
      <c r="G22" s="48">
        <f>IF(ISBLANK('Phase CEMS PM Concentrations'!F22),"",'Phase CEMS PM Concentrations'!F22)</f>
        <v>44343.740972222222</v>
      </c>
      <c r="H22" s="9" t="str">
        <f>'[1]XRF Masses'!B48</f>
        <v>TF4721026</v>
      </c>
      <c r="I22" s="64" t="s">
        <v>470</v>
      </c>
      <c r="J22">
        <f>'[1]Teflon Filter Masses'!$R29</f>
        <v>0.2283999999999935</v>
      </c>
      <c r="K22" s="9">
        <f>'[1]XRF Masses'!J48</f>
        <v>7.9100000000000004E-2</v>
      </c>
      <c r="L22" s="9">
        <f>'[1]XRF Masses'!K48</f>
        <v>0.15140000000000001</v>
      </c>
      <c r="M22" s="9">
        <f>'[1]XRF Masses'!L48</f>
        <v>0</v>
      </c>
      <c r="N22" s="9">
        <f>'[1]XRF Masses'!M48</f>
        <v>1.8100000000000002E-2</v>
      </c>
      <c r="O22" s="9">
        <f>'[1]XRF Masses'!N48</f>
        <v>3.0499999999999999E-2</v>
      </c>
      <c r="P22" s="9">
        <f>'[1]XRF Masses'!O48</f>
        <v>1.4379999999999999</v>
      </c>
      <c r="Q22" s="9">
        <f>'[1]XRF Masses'!P48</f>
        <v>1.2430000000000001</v>
      </c>
      <c r="R22" s="9">
        <f>'[1]XRF Masses'!Q48</f>
        <v>3.5449999999999999</v>
      </c>
      <c r="S22" s="9">
        <f>'[1]XRF Masses'!R48</f>
        <v>9.0399999999999994E-2</v>
      </c>
      <c r="T22" s="9">
        <f>'[1]XRF Masses'!S48</f>
        <v>0</v>
      </c>
      <c r="U22" s="9">
        <f>'[1]XRF Masses'!T48</f>
        <v>3.3999999999999998E-3</v>
      </c>
      <c r="V22" s="9">
        <f>'[1]XRF Masses'!U48</f>
        <v>0.3876</v>
      </c>
      <c r="W22" s="9">
        <f>'[1]XRF Masses'!V48</f>
        <v>1.1000000000000001E-3</v>
      </c>
      <c r="X22" s="9">
        <f>'[1]XRF Masses'!W48</f>
        <v>0</v>
      </c>
      <c r="Y22" s="9">
        <f>'[1]XRF Masses'!X48</f>
        <v>0</v>
      </c>
      <c r="Z22" s="9">
        <f>'[1]XRF Masses'!Y48</f>
        <v>0</v>
      </c>
      <c r="AA22" s="9">
        <f>'[1]XRF Masses'!Z48</f>
        <v>0</v>
      </c>
      <c r="AB22" s="9">
        <f>'[1]XRF Masses'!AA48</f>
        <v>0.24859999999999999</v>
      </c>
      <c r="AC22" s="9">
        <f>'[1]XRF Masses'!AB48</f>
        <v>0</v>
      </c>
      <c r="AD22" s="9">
        <f>'[1]XRF Masses'!AC48</f>
        <v>0</v>
      </c>
      <c r="AE22" s="9">
        <f>'[1]XRF Masses'!AD48</f>
        <v>0</v>
      </c>
      <c r="AF22" s="9">
        <f>'[1]XRF Masses'!AE48</f>
        <v>0</v>
      </c>
      <c r="AG22" s="9">
        <f>'[1]XRF Masses'!AF48</f>
        <v>1.1000000000000001E-3</v>
      </c>
      <c r="AH22" s="9">
        <f>'[1]XRF Masses'!AG48</f>
        <v>1.3599999999999999E-2</v>
      </c>
      <c r="AI22" s="9">
        <f>'[1]XRF Masses'!AH48</f>
        <v>0</v>
      </c>
      <c r="AJ22" s="9">
        <f>'[1]XRF Masses'!AI48</f>
        <v>0</v>
      </c>
      <c r="AK22" s="9">
        <f>'[1]XRF Masses'!AJ48</f>
        <v>0</v>
      </c>
      <c r="AL22" s="9">
        <f>'[1]XRF Masses'!AK48</f>
        <v>0</v>
      </c>
      <c r="AM22" s="9">
        <f>'[1]XRF Masses'!AL48</f>
        <v>0</v>
      </c>
      <c r="AN22" s="9">
        <f>'[1]XRF Masses'!AM48</f>
        <v>0</v>
      </c>
      <c r="AO22" s="9">
        <f>'[1]XRF Masses'!AN48</f>
        <v>0</v>
      </c>
      <c r="AP22" s="9">
        <f>'[1]XRF Masses'!AO48</f>
        <v>2.0299999999999999E-2</v>
      </c>
      <c r="AQ22" s="9">
        <f>'[1]XRF Masses'!AP48</f>
        <v>0</v>
      </c>
      <c r="AR22" s="9">
        <f>'[1]XRF Masses'!AQ48</f>
        <v>9.0399999999999994E-2</v>
      </c>
      <c r="AS22" s="9">
        <f>'[1]XRF Masses'!AR48</f>
        <v>0</v>
      </c>
      <c r="AT22" s="9">
        <f>'[1]XRF Masses'!AS48</f>
        <v>0</v>
      </c>
      <c r="AU22" s="9">
        <f>'[1]XRF Masses'!AT48</f>
        <v>0</v>
      </c>
      <c r="AV22" s="9">
        <f>'[1]XRF Masses'!AU48</f>
        <v>1.1000000000000001E-3</v>
      </c>
      <c r="AW22" s="9">
        <f>'[1]Quartz Filter Masses'!C31</f>
        <v>16.13</v>
      </c>
      <c r="AX22" s="9">
        <f>'[1]Quartz Filter Masses'!D31</f>
        <v>1.03</v>
      </c>
      <c r="AY22">
        <f>'[1]Quartz Back Filter Masses'!C28</f>
        <v>5.77</v>
      </c>
      <c r="AZ22" s="9">
        <f>'[1]Quartz Back Filter Masses'!D28</f>
        <v>0.1</v>
      </c>
      <c r="BA22" s="77">
        <f t="shared" si="0"/>
        <v>0.22259999999997149</v>
      </c>
      <c r="BB22" s="77">
        <f t="shared" si="1"/>
        <v>0.14381457185897206</v>
      </c>
      <c r="BC22" s="77">
        <f t="shared" si="2"/>
        <v>9.351578851940736E-3</v>
      </c>
      <c r="BD22" s="92">
        <f t="shared" si="3"/>
        <v>5.0207991311875977E-2</v>
      </c>
      <c r="BE22" s="93">
        <f t="shared" si="4"/>
        <v>9.0792027688745014E-4</v>
      </c>
      <c r="BF22" s="82">
        <v>0.49321500000000001</v>
      </c>
      <c r="BG22" s="83">
        <v>0.46257199999999998</v>
      </c>
      <c r="BH22" s="50">
        <f t="shared" si="5"/>
        <v>6.4120980929851593E-2</v>
      </c>
      <c r="BI22" s="30">
        <f t="shared" si="6"/>
        <v>0.4513244730999087</v>
      </c>
      <c r="BJ22" s="102">
        <f t="shared" si="7"/>
        <v>1.6037630647891893E-4</v>
      </c>
      <c r="BK22" s="102">
        <f t="shared" si="8"/>
        <v>3.0696552213537712E-4</v>
      </c>
      <c r="BL22" s="102">
        <f t="shared" si="9"/>
        <v>0</v>
      </c>
      <c r="BM22" s="102">
        <f t="shared" si="10"/>
        <v>3.6697991748020646E-5</v>
      </c>
      <c r="BN22" s="102">
        <f t="shared" si="11"/>
        <v>6.1839157365449138E-5</v>
      </c>
      <c r="BO22" s="102">
        <f t="shared" si="12"/>
        <v>2.9155642062792088E-3</v>
      </c>
      <c r="BP22" s="102">
        <f t="shared" si="13"/>
        <v>2.5201991018115833E-3</v>
      </c>
      <c r="BQ22" s="102">
        <f t="shared" si="14"/>
        <v>7.1875348478858099E-3</v>
      </c>
      <c r="BR22" s="102">
        <f t="shared" si="15"/>
        <v>1.8328720740447876E-4</v>
      </c>
      <c r="BS22" s="102">
        <f t="shared" si="16"/>
        <v>0</v>
      </c>
      <c r="BT22" s="102">
        <f t="shared" si="17"/>
        <v>6.8935454112303962E-6</v>
      </c>
      <c r="BU22" s="102">
        <f t="shared" si="18"/>
        <v>7.8586417688026526E-4</v>
      </c>
      <c r="BV22" s="102">
        <f t="shared" si="19"/>
        <v>2.2302646918686577E-6</v>
      </c>
      <c r="BW22" s="102">
        <f t="shared" si="20"/>
        <v>0</v>
      </c>
      <c r="BX22" s="102">
        <f t="shared" si="21"/>
        <v>0</v>
      </c>
      <c r="BY22" s="102">
        <f t="shared" si="22"/>
        <v>0</v>
      </c>
      <c r="BZ22" s="102">
        <f t="shared" si="23"/>
        <v>0</v>
      </c>
      <c r="CA22" s="102">
        <f t="shared" si="24"/>
        <v>5.0403982036231667E-4</v>
      </c>
      <c r="CB22" s="102">
        <f t="shared" si="25"/>
        <v>0</v>
      </c>
      <c r="CC22" s="102">
        <f t="shared" si="26"/>
        <v>0</v>
      </c>
      <c r="CD22" s="102">
        <f t="shared" si="27"/>
        <v>0</v>
      </c>
      <c r="CE22" s="102">
        <f t="shared" si="28"/>
        <v>0</v>
      </c>
      <c r="CF22" s="102">
        <f t="shared" si="29"/>
        <v>2.2302646918686577E-6</v>
      </c>
      <c r="CG22" s="102">
        <f t="shared" si="30"/>
        <v>2.7574181644921585E-5</v>
      </c>
      <c r="CH22" s="102">
        <f t="shared" si="31"/>
        <v>0</v>
      </c>
      <c r="CI22" s="102">
        <f t="shared" si="32"/>
        <v>0</v>
      </c>
      <c r="CJ22" s="102">
        <f t="shared" si="33"/>
        <v>0</v>
      </c>
      <c r="CK22" s="102">
        <f t="shared" si="34"/>
        <v>0</v>
      </c>
      <c r="CL22" s="102">
        <f t="shared" si="35"/>
        <v>0</v>
      </c>
      <c r="CM22" s="102">
        <f t="shared" si="36"/>
        <v>0</v>
      </c>
      <c r="CN22" s="102">
        <f t="shared" si="37"/>
        <v>0</v>
      </c>
      <c r="CO22" s="102">
        <f t="shared" si="38"/>
        <v>4.1158521131757947E-5</v>
      </c>
      <c r="CP22" s="102">
        <f t="shared" si="39"/>
        <v>0</v>
      </c>
      <c r="CQ22" s="102">
        <f t="shared" si="40"/>
        <v>1.8328720740447876E-4</v>
      </c>
      <c r="CR22" s="102">
        <f t="shared" si="41"/>
        <v>0</v>
      </c>
      <c r="CS22" s="102">
        <f t="shared" si="42"/>
        <v>0</v>
      </c>
      <c r="CT22" s="102">
        <f t="shared" si="43"/>
        <v>0</v>
      </c>
      <c r="CU22" s="102">
        <f t="shared" si="44"/>
        <v>2.2302646918686577E-6</v>
      </c>
      <c r="CV22" s="30">
        <f t="shared" si="48"/>
        <v>0.20910465278306883</v>
      </c>
      <c r="CW22" s="30">
        <f t="shared" si="49"/>
        <v>1.8375662247738227E-2</v>
      </c>
      <c r="CX22" s="30">
        <f t="shared" si="45"/>
        <v>0.22748031503080707</v>
      </c>
      <c r="CY22" s="2">
        <f t="shared" si="50"/>
        <v>0.44300611281516655</v>
      </c>
      <c r="CZ22" s="18">
        <f t="shared" si="51"/>
        <v>0</v>
      </c>
      <c r="DA22" s="18">
        <f t="shared" si="52"/>
        <v>3.0696552213537712E-4</v>
      </c>
      <c r="DB22" s="18">
        <f t="shared" si="53"/>
        <v>0</v>
      </c>
      <c r="DC22" s="18">
        <f t="shared" si="54"/>
        <v>0</v>
      </c>
      <c r="DD22" s="18">
        <f t="shared" si="55"/>
        <v>4.9960909407023003E-5</v>
      </c>
      <c r="DE22" s="18">
        <f t="shared" si="56"/>
        <v>2.8129226380560883E-3</v>
      </c>
      <c r="DF22" s="18">
        <f t="shared" si="57"/>
        <v>2.2793297289375029E-3</v>
      </c>
      <c r="DG22" s="18">
        <f t="shared" si="58"/>
        <v>6.8715336241049483E-3</v>
      </c>
      <c r="DH22" s="18">
        <f t="shared" si="59"/>
        <v>0</v>
      </c>
      <c r="DI22" s="18">
        <f t="shared" si="60"/>
        <v>0</v>
      </c>
      <c r="DJ22" s="18">
        <f t="shared" si="61"/>
        <v>6.8935454112303962E-6</v>
      </c>
      <c r="DK22" s="18">
        <f t="shared" si="62"/>
        <v>7.0441333373677181E-4</v>
      </c>
      <c r="DL22" s="18">
        <f t="shared" si="63"/>
        <v>0</v>
      </c>
      <c r="DM22" s="18">
        <f t="shared" si="64"/>
        <v>0</v>
      </c>
      <c r="DN22" s="18">
        <f t="shared" si="65"/>
        <v>0</v>
      </c>
      <c r="DO22" s="18">
        <f t="shared" si="66"/>
        <v>0</v>
      </c>
      <c r="DP22" s="18">
        <f t="shared" si="67"/>
        <v>0</v>
      </c>
      <c r="DQ22" s="18">
        <f t="shared" si="68"/>
        <v>4.3255755938339911E-4</v>
      </c>
      <c r="DR22" s="18">
        <f t="shared" si="69"/>
        <v>0</v>
      </c>
      <c r="DS22" s="18">
        <f t="shared" si="70"/>
        <v>0</v>
      </c>
      <c r="DT22" s="18">
        <f t="shared" si="71"/>
        <v>0</v>
      </c>
      <c r="DU22" s="18">
        <f t="shared" si="72"/>
        <v>0</v>
      </c>
      <c r="DV22" s="18">
        <f t="shared" si="73"/>
        <v>0</v>
      </c>
      <c r="DW22" s="18">
        <f t="shared" si="74"/>
        <v>2.7574181644921585E-5</v>
      </c>
      <c r="DX22" s="18">
        <f t="shared" si="75"/>
        <v>0</v>
      </c>
      <c r="DY22" s="18">
        <f t="shared" si="76"/>
        <v>0</v>
      </c>
      <c r="DZ22" s="18">
        <f t="shared" si="77"/>
        <v>0</v>
      </c>
      <c r="EA22" s="18">
        <f t="shared" si="78"/>
        <v>0</v>
      </c>
      <c r="EB22" s="18">
        <f t="shared" si="79"/>
        <v>0</v>
      </c>
      <c r="EC22" s="18">
        <f t="shared" si="80"/>
        <v>0</v>
      </c>
      <c r="ED22" s="18">
        <f t="shared" si="81"/>
        <v>0</v>
      </c>
      <c r="EE22" s="18">
        <f t="shared" si="82"/>
        <v>4.1158521131757947E-5</v>
      </c>
      <c r="EF22" s="18">
        <f t="shared" si="83"/>
        <v>0</v>
      </c>
      <c r="EG22" s="18">
        <f t="shared" si="84"/>
        <v>1.8328720740447876E-4</v>
      </c>
      <c r="EH22" s="18">
        <f t="shared" si="85"/>
        <v>0</v>
      </c>
      <c r="EI22" s="18">
        <f t="shared" si="86"/>
        <v>0</v>
      </c>
      <c r="EJ22" s="18">
        <f t="shared" si="87"/>
        <v>0</v>
      </c>
      <c r="EK22" s="18">
        <f t="shared" si="88"/>
        <v>0</v>
      </c>
      <c r="EL22" s="2">
        <f t="shared" si="89"/>
        <v>0.20079310685850055</v>
      </c>
      <c r="EM22" s="2">
        <f t="shared" si="90"/>
        <v>1.8375662247738227E-2</v>
      </c>
      <c r="EN22" s="103">
        <f t="shared" si="97"/>
        <v>0.23288536587759229</v>
      </c>
      <c r="EO22" s="103">
        <f t="shared" si="93"/>
        <v>0.44300611281516655</v>
      </c>
      <c r="EP22" s="113">
        <f t="shared" si="46"/>
        <v>6.1055127445168951E-2</v>
      </c>
      <c r="EQ22" s="17">
        <f t="shared" si="47"/>
        <v>0.93894487255483106</v>
      </c>
      <c r="ES22"/>
      <c r="HH22">
        <f t="shared" si="94"/>
        <v>0.46331334825882531</v>
      </c>
      <c r="HI22" s="36">
        <f t="shared" si="91"/>
        <v>0.64606725902511453</v>
      </c>
      <c r="HJ22">
        <f t="shared" si="95"/>
        <v>4.0714969701344882E-2</v>
      </c>
      <c r="HK22">
        <f t="shared" si="92"/>
        <v>4.2010686666405811E-2</v>
      </c>
      <c r="HM22" s="36">
        <f t="shared" si="96"/>
        <v>0.50402831796017022</v>
      </c>
    </row>
    <row r="23" spans="1:221">
      <c r="A23" s="20">
        <f>'Phase CEMS PM Concentrations'!A23</f>
        <v>44348</v>
      </c>
      <c r="B23" s="20" t="str">
        <f>'Phase CEMS PM Concentrations'!B23</f>
        <v>BK Princess</v>
      </c>
      <c r="C23" s="20" t="str">
        <f>'Phase CEMS PM Concentrations'!C23</f>
        <v>Wet birch</v>
      </c>
      <c r="D23" s="20" t="str">
        <f>'Phase CEMS PM Concentrations'!D23</f>
        <v>Startup</v>
      </c>
      <c r="E23" s="21" t="s">
        <v>471</v>
      </c>
      <c r="F23" s="48">
        <f>IF(ISBLANK('Phase CEMS PM Concentrations'!E23),"",'Phase CEMS PM Concentrations'!E23)</f>
        <v>44348.375694444447</v>
      </c>
      <c r="G23" s="48">
        <f>IF(ISBLANK('Phase CEMS PM Concentrations'!F23),"",'Phase CEMS PM Concentrations'!F23)</f>
        <v>44348.38958333333</v>
      </c>
      <c r="H23" s="9" t="str">
        <f>'[1]XRF Masses'!B49</f>
        <v>TF4721027</v>
      </c>
      <c r="I23" s="64" t="s">
        <v>472</v>
      </c>
      <c r="J23">
        <f>'[1]Teflon Filter Masses'!$R30</f>
        <v>0.14509999999998513</v>
      </c>
      <c r="K23" s="9">
        <f>'[1]XRF Masses'!J49</f>
        <v>0</v>
      </c>
      <c r="L23" s="9">
        <f>'[1]XRF Masses'!K49</f>
        <v>0</v>
      </c>
      <c r="M23" s="9">
        <f>'[1]XRF Masses'!L49</f>
        <v>0</v>
      </c>
      <c r="N23" s="9">
        <f>'[1]XRF Masses'!M49</f>
        <v>3.1600000000000003E-2</v>
      </c>
      <c r="O23" s="9">
        <f>'[1]XRF Masses'!N49</f>
        <v>2.3E-3</v>
      </c>
      <c r="P23" s="9">
        <f>'[1]XRF Masses'!O49</f>
        <v>0.2271</v>
      </c>
      <c r="Q23" s="9">
        <f>'[1]XRF Masses'!P49</f>
        <v>0.28139999999999998</v>
      </c>
      <c r="R23" s="9">
        <f>'[1]XRF Masses'!Q49</f>
        <v>0.75139999999999996</v>
      </c>
      <c r="S23" s="9">
        <f>'[1]XRF Masses'!R49</f>
        <v>4.41E-2</v>
      </c>
      <c r="T23" s="9">
        <f>'[1]XRF Masses'!S49</f>
        <v>0</v>
      </c>
      <c r="U23" s="9">
        <f>'[1]XRF Masses'!T49</f>
        <v>0</v>
      </c>
      <c r="V23" s="9">
        <f>'[1]XRF Masses'!U49</f>
        <v>2.3E-3</v>
      </c>
      <c r="W23" s="9">
        <f>'[1]XRF Masses'!V49</f>
        <v>0</v>
      </c>
      <c r="X23" s="9">
        <f>'[1]XRF Masses'!W49</f>
        <v>2.7099999999999999E-2</v>
      </c>
      <c r="Y23" s="9">
        <f>'[1]XRF Masses'!X49</f>
        <v>0</v>
      </c>
      <c r="Z23" s="9">
        <f>'[1]XRF Masses'!Y49</f>
        <v>0</v>
      </c>
      <c r="AA23" s="9">
        <f>'[1]XRF Masses'!Z49</f>
        <v>0</v>
      </c>
      <c r="AB23" s="9">
        <f>'[1]XRF Masses'!AA49</f>
        <v>8.6999999999999994E-2</v>
      </c>
      <c r="AC23" s="9">
        <f>'[1]XRF Masses'!AB49</f>
        <v>0</v>
      </c>
      <c r="AD23" s="9">
        <f>'[1]XRF Masses'!AC49</f>
        <v>0</v>
      </c>
      <c r="AE23" s="9">
        <f>'[1]XRF Masses'!AD49</f>
        <v>0</v>
      </c>
      <c r="AF23" s="9">
        <f>'[1]XRF Masses'!AE49</f>
        <v>0</v>
      </c>
      <c r="AG23" s="9">
        <f>'[1]XRF Masses'!AF49</f>
        <v>0</v>
      </c>
      <c r="AH23" s="9">
        <f>'[1]XRF Masses'!AG49</f>
        <v>0</v>
      </c>
      <c r="AI23" s="9">
        <f>'[1]XRF Masses'!AH49</f>
        <v>0</v>
      </c>
      <c r="AJ23" s="9">
        <f>'[1]XRF Masses'!AI49</f>
        <v>4.4999999999999997E-3</v>
      </c>
      <c r="AK23" s="9">
        <f>'[1]XRF Masses'!AJ49</f>
        <v>0</v>
      </c>
      <c r="AL23" s="9">
        <f>'[1]XRF Masses'!AK49</f>
        <v>1.1000000000000001E-3</v>
      </c>
      <c r="AM23" s="9">
        <f>'[1]XRF Masses'!AL49</f>
        <v>0</v>
      </c>
      <c r="AN23" s="9">
        <f>'[1]XRF Masses'!AM49</f>
        <v>0</v>
      </c>
      <c r="AO23" s="9">
        <f>'[1]XRF Masses'!AN49</f>
        <v>3.73E-2</v>
      </c>
      <c r="AP23" s="9">
        <f>'[1]XRF Masses'!AO49</f>
        <v>5.8799999999999998E-2</v>
      </c>
      <c r="AQ23" s="9">
        <f>'[1]XRF Masses'!AP49</f>
        <v>0</v>
      </c>
      <c r="AR23" s="9">
        <f>'[1]XRF Masses'!AQ49</f>
        <v>0</v>
      </c>
      <c r="AS23" s="9">
        <f>'[1]XRF Masses'!AR49</f>
        <v>0</v>
      </c>
      <c r="AT23" s="9">
        <f>'[1]XRF Masses'!AS49</f>
        <v>0</v>
      </c>
      <c r="AU23" s="9">
        <f>'[1]XRF Masses'!AT49</f>
        <v>0</v>
      </c>
      <c r="AV23" s="9">
        <f>'[1]XRF Masses'!AU49</f>
        <v>0</v>
      </c>
      <c r="AW23" s="9">
        <f>'[1]Quartz Filter Masses'!C32</f>
        <v>8.2899999999999991</v>
      </c>
      <c r="AX23" s="9">
        <f>'[1]Quartz Filter Masses'!D32</f>
        <v>2.16</v>
      </c>
      <c r="AY23">
        <f>'[1]Quartz Back Filter Masses'!C29</f>
        <v>2.1</v>
      </c>
      <c r="AZ23" s="9">
        <f>'[1]Quartz Back Filter Masses'!D29</f>
        <v>7.0000000000000007E-2</v>
      </c>
      <c r="BA23" s="77">
        <f t="shared" si="0"/>
        <v>0.13929999999996312</v>
      </c>
      <c r="BB23" s="77">
        <f t="shared" si="1"/>
        <v>7.2633622150995988E-2</v>
      </c>
      <c r="BC23" s="77">
        <f t="shared" si="2"/>
        <v>1.9611077980768922E-2</v>
      </c>
      <c r="BD23" s="92">
        <f t="shared" si="3"/>
        <v>1.6887317150106572E-2</v>
      </c>
      <c r="BE23" s="93">
        <f t="shared" si="4"/>
        <v>6.3554419382121508E-4</v>
      </c>
      <c r="BF23" s="115">
        <v>1.80669E-2</v>
      </c>
      <c r="BG23" s="116">
        <v>1.8494500000000001E-2</v>
      </c>
      <c r="BH23" s="50">
        <f t="shared" si="5"/>
        <v>2.3390789192974021E-2</v>
      </c>
      <c r="BI23" s="30">
        <f t="shared" si="6"/>
        <v>7.7102325246701495</v>
      </c>
      <c r="BJ23" s="102">
        <f t="shared" si="7"/>
        <v>0</v>
      </c>
      <c r="BK23" s="102">
        <f t="shared" si="8"/>
        <v>0</v>
      </c>
      <c r="BL23" s="102">
        <f t="shared" si="9"/>
        <v>0</v>
      </c>
      <c r="BM23" s="102">
        <f t="shared" si="10"/>
        <v>1.7490549015049624E-3</v>
      </c>
      <c r="BN23" s="102">
        <f t="shared" si="11"/>
        <v>1.2730462890700673E-4</v>
      </c>
      <c r="BO23" s="102">
        <f t="shared" si="12"/>
        <v>1.2569948358600534E-2</v>
      </c>
      <c r="BP23" s="102">
        <f t="shared" si="13"/>
        <v>1.5575444597578997E-2</v>
      </c>
      <c r="BQ23" s="102">
        <f t="shared" si="14"/>
        <v>4.1589868765532542E-2</v>
      </c>
      <c r="BR23" s="102">
        <f t="shared" si="15"/>
        <v>2.4409278846952162E-3</v>
      </c>
      <c r="BS23" s="102">
        <f t="shared" si="16"/>
        <v>0</v>
      </c>
      <c r="BT23" s="102">
        <f t="shared" si="17"/>
        <v>0</v>
      </c>
      <c r="BU23" s="102">
        <f t="shared" si="18"/>
        <v>1.2730462890700673E-4</v>
      </c>
      <c r="BV23" s="102">
        <f t="shared" si="19"/>
        <v>0</v>
      </c>
      <c r="BW23" s="102">
        <f t="shared" si="20"/>
        <v>1.4999806275564707E-3</v>
      </c>
      <c r="BX23" s="102">
        <f t="shared" si="21"/>
        <v>0</v>
      </c>
      <c r="BY23" s="102">
        <f t="shared" si="22"/>
        <v>0</v>
      </c>
      <c r="BZ23" s="102">
        <f t="shared" si="23"/>
        <v>0</v>
      </c>
      <c r="CA23" s="102">
        <f t="shared" si="24"/>
        <v>4.8154359630041667E-3</v>
      </c>
      <c r="CB23" s="102">
        <f t="shared" si="25"/>
        <v>0</v>
      </c>
      <c r="CC23" s="102">
        <f t="shared" si="26"/>
        <v>0</v>
      </c>
      <c r="CD23" s="102">
        <f t="shared" si="27"/>
        <v>0</v>
      </c>
      <c r="CE23" s="102">
        <f t="shared" si="28"/>
        <v>0</v>
      </c>
      <c r="CF23" s="102">
        <f t="shared" si="29"/>
        <v>0</v>
      </c>
      <c r="CG23" s="102">
        <f t="shared" si="30"/>
        <v>0</v>
      </c>
      <c r="CH23" s="102">
        <f t="shared" si="31"/>
        <v>0</v>
      </c>
      <c r="CI23" s="102">
        <f t="shared" si="32"/>
        <v>2.4907427394849139E-4</v>
      </c>
      <c r="CJ23" s="102">
        <f t="shared" si="33"/>
        <v>0</v>
      </c>
      <c r="CK23" s="102">
        <f t="shared" si="34"/>
        <v>6.0884822520742355E-5</v>
      </c>
      <c r="CL23" s="102">
        <f t="shared" si="35"/>
        <v>0</v>
      </c>
      <c r="CM23" s="102">
        <f t="shared" si="36"/>
        <v>0</v>
      </c>
      <c r="CN23" s="102">
        <f t="shared" si="37"/>
        <v>2.0645489818397179E-3</v>
      </c>
      <c r="CO23" s="102">
        <f t="shared" si="38"/>
        <v>3.2545705129269548E-3</v>
      </c>
      <c r="CP23" s="102">
        <f t="shared" si="39"/>
        <v>0</v>
      </c>
      <c r="CQ23" s="102">
        <f t="shared" si="40"/>
        <v>0</v>
      </c>
      <c r="CR23" s="102">
        <f t="shared" si="41"/>
        <v>0</v>
      </c>
      <c r="CS23" s="102">
        <f t="shared" si="42"/>
        <v>0</v>
      </c>
      <c r="CT23" s="102">
        <f t="shared" si="43"/>
        <v>0</v>
      </c>
      <c r="CU23" s="102">
        <f t="shared" si="44"/>
        <v>0</v>
      </c>
      <c r="CV23" s="30">
        <f t="shared" si="48"/>
        <v>2.9925990367591386</v>
      </c>
      <c r="CW23" s="30">
        <f t="shared" si="49"/>
        <v>1.0251962468247435</v>
      </c>
      <c r="CX23" s="30">
        <f t="shared" si="45"/>
        <v>4.0177952835838822</v>
      </c>
      <c r="CY23" s="2">
        <f t="shared" si="50"/>
        <v>7.701914164385407</v>
      </c>
      <c r="CZ23" s="18">
        <f t="shared" si="51"/>
        <v>0</v>
      </c>
      <c r="DA23" s="18">
        <f t="shared" si="52"/>
        <v>0</v>
      </c>
      <c r="DB23" s="18">
        <f t="shared" si="53"/>
        <v>0</v>
      </c>
      <c r="DC23" s="18">
        <f t="shared" si="54"/>
        <v>1.5096013701892551E-3</v>
      </c>
      <c r="DD23" s="18">
        <f t="shared" si="55"/>
        <v>1.154263809485806E-4</v>
      </c>
      <c r="DE23" s="18">
        <f t="shared" si="56"/>
        <v>1.2467306790377414E-2</v>
      </c>
      <c r="DF23" s="18">
        <f t="shared" si="57"/>
        <v>1.5334575224704917E-2</v>
      </c>
      <c r="DG23" s="18">
        <f t="shared" si="58"/>
        <v>4.1273867541751677E-2</v>
      </c>
      <c r="DH23" s="18">
        <f t="shared" si="59"/>
        <v>1.817100956112894E-3</v>
      </c>
      <c r="DI23" s="18">
        <f t="shared" si="60"/>
        <v>0</v>
      </c>
      <c r="DJ23" s="18">
        <f t="shared" si="61"/>
        <v>0</v>
      </c>
      <c r="DK23" s="18">
        <f t="shared" si="62"/>
        <v>4.5853785763513253E-5</v>
      </c>
      <c r="DL23" s="18">
        <f t="shared" si="63"/>
        <v>0</v>
      </c>
      <c r="DM23" s="18">
        <f t="shared" si="64"/>
        <v>1.2221847327093527E-3</v>
      </c>
      <c r="DN23" s="18">
        <f t="shared" si="65"/>
        <v>0</v>
      </c>
      <c r="DO23" s="18">
        <f t="shared" si="66"/>
        <v>0</v>
      </c>
      <c r="DP23" s="18">
        <f t="shared" si="67"/>
        <v>0</v>
      </c>
      <c r="DQ23" s="18">
        <f t="shared" si="68"/>
        <v>4.7439537020252491E-3</v>
      </c>
      <c r="DR23" s="18">
        <f t="shared" si="69"/>
        <v>0</v>
      </c>
      <c r="DS23" s="18">
        <f t="shared" si="70"/>
        <v>0</v>
      </c>
      <c r="DT23" s="18">
        <f t="shared" si="71"/>
        <v>0</v>
      </c>
      <c r="DU23" s="18">
        <f t="shared" si="72"/>
        <v>0</v>
      </c>
      <c r="DV23" s="18">
        <f t="shared" si="73"/>
        <v>0</v>
      </c>
      <c r="DW23" s="18">
        <f t="shared" si="74"/>
        <v>0</v>
      </c>
      <c r="DX23" s="18">
        <f t="shared" si="75"/>
        <v>0</v>
      </c>
      <c r="DY23" s="18">
        <f t="shared" si="76"/>
        <v>2.3493306146429627E-4</v>
      </c>
      <c r="DZ23" s="18">
        <f t="shared" si="77"/>
        <v>0</v>
      </c>
      <c r="EA23" s="18">
        <f t="shared" si="78"/>
        <v>6.0884822520742355E-5</v>
      </c>
      <c r="EB23" s="18">
        <f t="shared" si="79"/>
        <v>0</v>
      </c>
      <c r="EC23" s="18">
        <f t="shared" si="80"/>
        <v>0</v>
      </c>
      <c r="ED23" s="18">
        <f t="shared" si="81"/>
        <v>2.0481202202771972E-3</v>
      </c>
      <c r="EE23" s="18">
        <f t="shared" si="82"/>
        <v>3.2545705129269548E-3</v>
      </c>
      <c r="EF23" s="18">
        <f t="shared" si="83"/>
        <v>0</v>
      </c>
      <c r="EG23" s="18">
        <f t="shared" si="84"/>
        <v>0</v>
      </c>
      <c r="EH23" s="18">
        <f t="shared" si="85"/>
        <v>0</v>
      </c>
      <c r="EI23" s="18">
        <f t="shared" si="86"/>
        <v>0</v>
      </c>
      <c r="EJ23" s="18">
        <f t="shared" si="87"/>
        <v>0</v>
      </c>
      <c r="EK23" s="18">
        <f t="shared" si="88"/>
        <v>0</v>
      </c>
      <c r="EL23" s="2">
        <f t="shared" si="89"/>
        <v>2.9842874908345705</v>
      </c>
      <c r="EM23" s="2">
        <f t="shared" si="90"/>
        <v>1.0251962468247435</v>
      </c>
      <c r="EN23" s="103">
        <f t="shared" si="97"/>
        <v>4.0936121167610864</v>
      </c>
      <c r="EO23" s="103">
        <f t="shared" si="93"/>
        <v>7.701914164385407</v>
      </c>
      <c r="EP23" s="117">
        <f t="shared" si="46"/>
        <v>0.21259842519685043</v>
      </c>
      <c r="EQ23" s="50">
        <f t="shared" si="47"/>
        <v>0.78740157480314954</v>
      </c>
      <c r="HH23">
        <f t="shared" si="94"/>
        <v>0.38813343529962668</v>
      </c>
      <c r="HI23" s="36">
        <f t="shared" si="91"/>
        <v>0.52141868019393556</v>
      </c>
      <c r="HJ23">
        <f t="shared" si="95"/>
        <v>0.13296567172837662</v>
      </c>
      <c r="HK23">
        <f t="shared" si="92"/>
        <v>0.14078304365236263</v>
      </c>
      <c r="HM23" s="36">
        <f t="shared" si="96"/>
        <v>0.52109910702800333</v>
      </c>
    </row>
    <row r="24" spans="1:221">
      <c r="A24" s="20">
        <f>'Phase CEMS PM Concentrations'!A24</f>
        <v>44348</v>
      </c>
      <c r="B24" s="20" t="str">
        <f>'Phase CEMS PM Concentrations'!B24</f>
        <v>BK Princess</v>
      </c>
      <c r="C24" s="20" t="str">
        <f>'Phase CEMS PM Concentrations'!C24</f>
        <v>Wet birch</v>
      </c>
      <c r="D24" s="20" t="str">
        <f>'Phase CEMS PM Concentrations'!D24</f>
        <v>High</v>
      </c>
      <c r="E24" s="21" t="s">
        <v>473</v>
      </c>
      <c r="F24" s="48">
        <f>IF(ISBLANK('Phase CEMS PM Concentrations'!E24),"",'Phase CEMS PM Concentrations'!E24)</f>
        <v>44348.390972222223</v>
      </c>
      <c r="G24" s="48">
        <f>IF(ISBLANK('Phase CEMS PM Concentrations'!F24),"",'Phase CEMS PM Concentrations'!F24)</f>
        <v>44348.540972222225</v>
      </c>
      <c r="H24" s="9" t="str">
        <f>'[1]XRF Masses'!B50</f>
        <v>TF4721028</v>
      </c>
      <c r="I24" s="64" t="s">
        <v>474</v>
      </c>
      <c r="J24">
        <f>'[1]Teflon Filter Masses'!$R31</f>
        <v>0.52630000000002042</v>
      </c>
      <c r="K24" s="9">
        <f>'[1]XRF Masses'!J50</f>
        <v>0</v>
      </c>
      <c r="L24" s="9">
        <f>'[1]XRF Masses'!K50</f>
        <v>0</v>
      </c>
      <c r="M24" s="9">
        <f>'[1]XRF Masses'!L50</f>
        <v>0</v>
      </c>
      <c r="N24" s="9">
        <f>'[1]XRF Masses'!M50</f>
        <v>7.9000000000000008E-3</v>
      </c>
      <c r="O24" s="9">
        <f>'[1]XRF Masses'!N50</f>
        <v>0</v>
      </c>
      <c r="P24" s="9">
        <f>'[1]XRF Masses'!O50</f>
        <v>1.4970000000000001</v>
      </c>
      <c r="Q24" s="9">
        <f>'[1]XRF Masses'!P50</f>
        <v>1.651</v>
      </c>
      <c r="R24" s="9">
        <f>'[1]XRF Masses'!Q50</f>
        <v>2.4689999999999999</v>
      </c>
      <c r="S24" s="9">
        <f>'[1]XRF Masses'!R50</f>
        <v>3.2800000000000003E-2</v>
      </c>
      <c r="T24" s="9">
        <f>'[1]XRF Masses'!S50</f>
        <v>0</v>
      </c>
      <c r="U24" s="9">
        <f>'[1]XRF Masses'!T50</f>
        <v>0</v>
      </c>
      <c r="V24" s="9">
        <f>'[1]XRF Masses'!U50</f>
        <v>6.3299999999999995E-2</v>
      </c>
      <c r="W24" s="9">
        <f>'[1]XRF Masses'!V50</f>
        <v>4.4999999999999997E-3</v>
      </c>
      <c r="X24" s="9">
        <f>'[1]XRF Masses'!W50</f>
        <v>1.0200000000000001E-2</v>
      </c>
      <c r="Y24" s="9">
        <f>'[1]XRF Masses'!X50</f>
        <v>0</v>
      </c>
      <c r="Z24" s="9">
        <f>'[1]XRF Masses'!Y50</f>
        <v>3.3999999999999998E-3</v>
      </c>
      <c r="AA24" s="9">
        <f>'[1]XRF Masses'!Z50</f>
        <v>0</v>
      </c>
      <c r="AB24" s="9">
        <f>'[1]XRF Masses'!AA50</f>
        <v>0.52659999999999996</v>
      </c>
      <c r="AC24" s="9">
        <f>'[1]XRF Masses'!AB50</f>
        <v>2.3E-3</v>
      </c>
      <c r="AD24" s="9">
        <f>'[1]XRF Masses'!AC50</f>
        <v>0</v>
      </c>
      <c r="AE24" s="9">
        <f>'[1]XRF Masses'!AD50</f>
        <v>0</v>
      </c>
      <c r="AF24" s="9">
        <f>'[1]XRF Masses'!AE50</f>
        <v>0</v>
      </c>
      <c r="AG24" s="9">
        <f>'[1]XRF Masses'!AF50</f>
        <v>5.5999999999999999E-3</v>
      </c>
      <c r="AH24" s="9">
        <f>'[1]XRF Masses'!AG50</f>
        <v>8.9999999999999993E-3</v>
      </c>
      <c r="AI24" s="9">
        <f>'[1]XRF Masses'!AH50</f>
        <v>0</v>
      </c>
      <c r="AJ24" s="9">
        <f>'[1]XRF Masses'!AI50</f>
        <v>0</v>
      </c>
      <c r="AK24" s="9">
        <f>'[1]XRF Masses'!AJ50</f>
        <v>0</v>
      </c>
      <c r="AL24" s="9">
        <f>'[1]XRF Masses'!AK50</f>
        <v>0</v>
      </c>
      <c r="AM24" s="9">
        <f>'[1]XRF Masses'!AL50</f>
        <v>0</v>
      </c>
      <c r="AN24" s="9">
        <f>'[1]XRF Masses'!AM50</f>
        <v>0</v>
      </c>
      <c r="AO24" s="9">
        <f>'[1]XRF Masses'!AN50</f>
        <v>0</v>
      </c>
      <c r="AP24" s="9">
        <f>'[1]XRF Masses'!AO50</f>
        <v>0</v>
      </c>
      <c r="AQ24" s="9">
        <f>'[1]XRF Masses'!AP50</f>
        <v>0</v>
      </c>
      <c r="AR24" s="9">
        <f>'[1]XRF Masses'!AQ50</f>
        <v>0</v>
      </c>
      <c r="AS24" s="9">
        <f>'[1]XRF Masses'!AR50</f>
        <v>1.24E-2</v>
      </c>
      <c r="AT24" s="9">
        <f>'[1]XRF Masses'!AS50</f>
        <v>1.0200000000000001E-2</v>
      </c>
      <c r="AU24" s="9">
        <f>'[1]XRF Masses'!AT50</f>
        <v>0</v>
      </c>
      <c r="AV24" s="9">
        <f>'[1]XRF Masses'!AU50</f>
        <v>6.7999999999999996E-3</v>
      </c>
      <c r="AW24" s="9">
        <f>'[1]Quartz Filter Masses'!C33</f>
        <v>30.92</v>
      </c>
      <c r="AX24" s="9">
        <f>'[1]Quartz Filter Masses'!D33</f>
        <v>4.3600000000000003</v>
      </c>
      <c r="AY24">
        <f>'[1]Quartz Back Filter Masses'!C30</f>
        <v>6.69</v>
      </c>
      <c r="AZ24" s="9">
        <f>'[1]Quartz Back Filter Masses'!D30</f>
        <v>0.12</v>
      </c>
      <c r="BA24" s="77">
        <f t="shared" si="0"/>
        <v>0.52049999999999841</v>
      </c>
      <c r="BB24" s="77">
        <f t="shared" si="1"/>
        <v>0.27809598081062598</v>
      </c>
      <c r="BC24" s="77">
        <f t="shared" si="2"/>
        <v>3.958532407229283E-2</v>
      </c>
      <c r="BD24" s="92">
        <f t="shared" si="3"/>
        <v>5.8560857859240527E-2</v>
      </c>
      <c r="BE24" s="93">
        <f t="shared" si="4"/>
        <v>1.08950433226494E-3</v>
      </c>
      <c r="BF24" s="115">
        <v>0.19384599999999999</v>
      </c>
      <c r="BG24" s="116">
        <v>0.19847999999999999</v>
      </c>
      <c r="BH24" s="50">
        <f t="shared" si="5"/>
        <v>2.3623211308962444E-2</v>
      </c>
      <c r="BI24" s="30">
        <f t="shared" si="6"/>
        <v>2.6851211786675941</v>
      </c>
      <c r="BJ24" s="102">
        <f t="shared" si="7"/>
        <v>0</v>
      </c>
      <c r="BK24" s="102">
        <f t="shared" si="8"/>
        <v>0</v>
      </c>
      <c r="BL24" s="102">
        <f t="shared" si="9"/>
        <v>0</v>
      </c>
      <c r="BM24" s="102">
        <f t="shared" si="10"/>
        <v>4.0754000598413181E-5</v>
      </c>
      <c r="BN24" s="102">
        <f t="shared" si="11"/>
        <v>0</v>
      </c>
      <c r="BO24" s="102">
        <f t="shared" si="12"/>
        <v>7.7226251766866491E-3</v>
      </c>
      <c r="BP24" s="102">
        <f t="shared" si="13"/>
        <v>8.5170702516430569E-3</v>
      </c>
      <c r="BQ24" s="102">
        <f t="shared" si="14"/>
        <v>1.2736914870567358E-2</v>
      </c>
      <c r="BR24" s="102">
        <f t="shared" si="15"/>
        <v>1.6920648349720915E-4</v>
      </c>
      <c r="BS24" s="102">
        <f t="shared" si="16"/>
        <v>0</v>
      </c>
      <c r="BT24" s="102">
        <f t="shared" si="17"/>
        <v>0</v>
      </c>
      <c r="BU24" s="102">
        <f t="shared" si="18"/>
        <v>3.2654787821260171E-4</v>
      </c>
      <c r="BV24" s="102">
        <f t="shared" si="19"/>
        <v>2.3214304138336618E-5</v>
      </c>
      <c r="BW24" s="102">
        <f t="shared" si="20"/>
        <v>5.2619089380229677E-5</v>
      </c>
      <c r="BX24" s="102">
        <f t="shared" si="21"/>
        <v>0</v>
      </c>
      <c r="BY24" s="102">
        <f t="shared" si="22"/>
        <v>1.7539696460076557E-5</v>
      </c>
      <c r="BZ24" s="102">
        <f t="shared" si="23"/>
        <v>0</v>
      </c>
      <c r="CA24" s="102">
        <f t="shared" si="24"/>
        <v>2.7165894576106804E-3</v>
      </c>
      <c r="CB24" s="102">
        <f t="shared" si="25"/>
        <v>1.1865088781816494E-5</v>
      </c>
      <c r="CC24" s="102">
        <f t="shared" si="26"/>
        <v>0</v>
      </c>
      <c r="CD24" s="102">
        <f t="shared" si="27"/>
        <v>0</v>
      </c>
      <c r="CE24" s="102">
        <f t="shared" si="28"/>
        <v>0</v>
      </c>
      <c r="CF24" s="102">
        <f t="shared" si="29"/>
        <v>2.8888911816596682E-5</v>
      </c>
      <c r="CG24" s="102">
        <f t="shared" si="30"/>
        <v>4.6428608276673236E-5</v>
      </c>
      <c r="CH24" s="102">
        <f t="shared" si="31"/>
        <v>0</v>
      </c>
      <c r="CI24" s="102">
        <f t="shared" si="32"/>
        <v>0</v>
      </c>
      <c r="CJ24" s="102">
        <f t="shared" si="33"/>
        <v>0</v>
      </c>
      <c r="CK24" s="102">
        <f t="shared" si="34"/>
        <v>0</v>
      </c>
      <c r="CL24" s="102">
        <f t="shared" si="35"/>
        <v>0</v>
      </c>
      <c r="CM24" s="102">
        <f t="shared" si="36"/>
        <v>0</v>
      </c>
      <c r="CN24" s="102">
        <f t="shared" si="37"/>
        <v>0</v>
      </c>
      <c r="CO24" s="102">
        <f t="shared" si="38"/>
        <v>0</v>
      </c>
      <c r="CP24" s="102">
        <f t="shared" si="39"/>
        <v>0</v>
      </c>
      <c r="CQ24" s="102">
        <f t="shared" si="40"/>
        <v>0</v>
      </c>
      <c r="CR24" s="102">
        <f t="shared" si="41"/>
        <v>6.3968304736749786E-5</v>
      </c>
      <c r="CS24" s="102">
        <f t="shared" si="42"/>
        <v>5.2619089380229677E-5</v>
      </c>
      <c r="CT24" s="102">
        <f t="shared" si="43"/>
        <v>0</v>
      </c>
      <c r="CU24" s="102">
        <f t="shared" si="44"/>
        <v>3.5079392920153114E-5</v>
      </c>
      <c r="CV24" s="30">
        <f t="shared" si="48"/>
        <v>1.0990285771835655</v>
      </c>
      <c r="CW24" s="30">
        <f t="shared" si="49"/>
        <v>0.19382191915061517</v>
      </c>
      <c r="CX24" s="30">
        <f t="shared" si="45"/>
        <v>1.2928504963341807</v>
      </c>
      <c r="CY24" s="2">
        <f t="shared" si="50"/>
        <v>2.6768028183828521</v>
      </c>
      <c r="CZ24" s="18">
        <f t="shared" si="51"/>
        <v>0</v>
      </c>
      <c r="DA24" s="18">
        <f t="shared" si="52"/>
        <v>0</v>
      </c>
      <c r="DB24" s="18">
        <f t="shared" si="53"/>
        <v>0</v>
      </c>
      <c r="DC24" s="18">
        <f t="shared" si="54"/>
        <v>0</v>
      </c>
      <c r="DD24" s="18">
        <f t="shared" si="55"/>
        <v>0</v>
      </c>
      <c r="DE24" s="18">
        <f t="shared" si="56"/>
        <v>7.619983608463529E-3</v>
      </c>
      <c r="DF24" s="18">
        <f t="shared" si="57"/>
        <v>8.2762008787689769E-3</v>
      </c>
      <c r="DG24" s="18">
        <f t="shared" si="58"/>
        <v>1.2420913646786496E-2</v>
      </c>
      <c r="DH24" s="18">
        <f t="shared" si="59"/>
        <v>0</v>
      </c>
      <c r="DI24" s="18">
        <f t="shared" si="60"/>
        <v>0</v>
      </c>
      <c r="DJ24" s="18">
        <f t="shared" si="61"/>
        <v>0</v>
      </c>
      <c r="DK24" s="18">
        <f t="shared" si="62"/>
        <v>2.4509703506910821E-4</v>
      </c>
      <c r="DL24" s="18">
        <f t="shared" si="63"/>
        <v>0</v>
      </c>
      <c r="DM24" s="18">
        <f t="shared" si="64"/>
        <v>0</v>
      </c>
      <c r="DN24" s="18">
        <f t="shared" si="65"/>
        <v>0</v>
      </c>
      <c r="DO24" s="18">
        <f t="shared" si="66"/>
        <v>0</v>
      </c>
      <c r="DP24" s="18">
        <f t="shared" si="67"/>
        <v>0</v>
      </c>
      <c r="DQ24" s="18">
        <f t="shared" si="68"/>
        <v>2.6451071966317628E-3</v>
      </c>
      <c r="DR24" s="18">
        <f t="shared" si="69"/>
        <v>0</v>
      </c>
      <c r="DS24" s="18">
        <f t="shared" si="70"/>
        <v>0</v>
      </c>
      <c r="DT24" s="18">
        <f t="shared" si="71"/>
        <v>0</v>
      </c>
      <c r="DU24" s="18">
        <f t="shared" si="72"/>
        <v>0</v>
      </c>
      <c r="DV24" s="18">
        <f t="shared" si="73"/>
        <v>2.4010345690814521E-5</v>
      </c>
      <c r="DW24" s="18">
        <f t="shared" si="74"/>
        <v>4.6428608276673236E-5</v>
      </c>
      <c r="DX24" s="18">
        <f t="shared" si="75"/>
        <v>0</v>
      </c>
      <c r="DY24" s="18">
        <f t="shared" si="76"/>
        <v>0</v>
      </c>
      <c r="DZ24" s="18">
        <f t="shared" si="77"/>
        <v>0</v>
      </c>
      <c r="EA24" s="18">
        <f t="shared" si="78"/>
        <v>0</v>
      </c>
      <c r="EB24" s="18">
        <f t="shared" si="79"/>
        <v>0</v>
      </c>
      <c r="EC24" s="18">
        <f t="shared" si="80"/>
        <v>0</v>
      </c>
      <c r="ED24" s="18">
        <f t="shared" si="81"/>
        <v>0</v>
      </c>
      <c r="EE24" s="18">
        <f t="shared" si="82"/>
        <v>0</v>
      </c>
      <c r="EF24" s="18">
        <f t="shared" si="83"/>
        <v>0</v>
      </c>
      <c r="EG24" s="18">
        <f t="shared" si="84"/>
        <v>0</v>
      </c>
      <c r="EH24" s="18">
        <f t="shared" si="85"/>
        <v>6.3968304736749786E-5</v>
      </c>
      <c r="EI24" s="18">
        <f t="shared" si="86"/>
        <v>4.3260934059806439E-5</v>
      </c>
      <c r="EJ24" s="18">
        <f t="shared" si="87"/>
        <v>0</v>
      </c>
      <c r="EK24" s="18">
        <f t="shared" si="88"/>
        <v>2.0938180435957999E-5</v>
      </c>
      <c r="EL24" s="2">
        <f t="shared" si="89"/>
        <v>1.0907170312589973</v>
      </c>
      <c r="EM24" s="2">
        <f t="shared" si="90"/>
        <v>0.19382191915061517</v>
      </c>
      <c r="EN24" s="103">
        <f t="shared" si="97"/>
        <v>1.3159448591485323</v>
      </c>
      <c r="EO24" s="103">
        <f t="shared" si="93"/>
        <v>2.6768028183828521</v>
      </c>
      <c r="EP24" s="117">
        <f t="shared" si="46"/>
        <v>0.12460703058016578</v>
      </c>
      <c r="EQ24" s="50">
        <f t="shared" si="47"/>
        <v>0.87539296941983424</v>
      </c>
      <c r="HH24">
        <f t="shared" si="94"/>
        <v>0.40930315768054959</v>
      </c>
      <c r="HI24" s="36">
        <f t="shared" si="91"/>
        <v>0.53428622634126188</v>
      </c>
      <c r="HJ24">
        <f t="shared" si="95"/>
        <v>7.2183676733276192E-2</v>
      </c>
      <c r="HK24">
        <f t="shared" si="92"/>
        <v>7.605249581612479E-2</v>
      </c>
      <c r="HM24" s="36">
        <f t="shared" si="96"/>
        <v>0.48148683441382584</v>
      </c>
    </row>
    <row r="25" spans="1:221">
      <c r="A25" s="70">
        <f>'Phase CEMS PM Concentrations'!A25</f>
        <v>44351</v>
      </c>
      <c r="B25" s="70" t="str">
        <f>'Phase CEMS PM Concentrations'!B25</f>
        <v>BK Princess</v>
      </c>
      <c r="C25" s="70" t="str">
        <f>'Phase CEMS PM Concentrations'!C25</f>
        <v xml:space="preserve">None </v>
      </c>
      <c r="D25" s="126" t="str">
        <f>'Phase CEMS PM Concentrations'!D25</f>
        <v>Background</v>
      </c>
      <c r="E25" s="139" t="s">
        <v>475</v>
      </c>
      <c r="F25" s="138">
        <f>IF(ISBLANK('Phase CEMS PM Concentrations'!E25),"",'Phase CEMS PM Concentrations'!E25)</f>
        <v>44351.373611111114</v>
      </c>
      <c r="G25" s="138">
        <f>IF(ISBLANK('Phase CEMS PM Concentrations'!F25),"",'Phase CEMS PM Concentrations'!F25)</f>
        <v>44351.540277777778</v>
      </c>
      <c r="H25" s="73" t="str">
        <f>'[1]XRF Masses'!B51</f>
        <v>TF4721029</v>
      </c>
      <c r="I25" s="139" t="s">
        <v>476</v>
      </c>
      <c r="J25" s="71">
        <f>'[1]Teflon Filter Masses'!$R32</f>
        <v>7.8000000000031378E-3</v>
      </c>
      <c r="K25" s="73">
        <f>'[1]XRF Masses'!J51</f>
        <v>0</v>
      </c>
      <c r="L25" s="73">
        <f>'[1]XRF Masses'!K51</f>
        <v>0</v>
      </c>
      <c r="M25" s="73">
        <f>'[1]XRF Masses'!L51</f>
        <v>0</v>
      </c>
      <c r="N25" s="73">
        <f>'[1]XRF Masses'!M51</f>
        <v>5.5999999999999999E-3</v>
      </c>
      <c r="O25" s="73">
        <f>'[1]XRF Masses'!N51</f>
        <v>0</v>
      </c>
      <c r="P25" s="73">
        <f>'[1]XRF Masses'!O51</f>
        <v>5.5999999999999999E-3</v>
      </c>
      <c r="Q25" s="73">
        <f>'[1]XRF Masses'!P51</f>
        <v>3.2800000000000003E-2</v>
      </c>
      <c r="R25" s="73">
        <f>'[1]XRF Masses'!Q51</f>
        <v>1.1299999999999999E-2</v>
      </c>
      <c r="S25" s="73">
        <f>'[1]XRF Masses'!R51</f>
        <v>4.07E-2</v>
      </c>
      <c r="T25" s="73">
        <f>'[1]XRF Masses'!S51</f>
        <v>2.3E-3</v>
      </c>
      <c r="U25" s="73">
        <f>'[1]XRF Masses'!T51</f>
        <v>0</v>
      </c>
      <c r="V25" s="73">
        <f>'[1]XRF Masses'!U51</f>
        <v>0</v>
      </c>
      <c r="W25" s="73">
        <f>'[1]XRF Masses'!V51</f>
        <v>0</v>
      </c>
      <c r="X25" s="73">
        <f>'[1]XRF Masses'!W51</f>
        <v>6.7999999999999996E-3</v>
      </c>
      <c r="Y25" s="73">
        <f>'[1]XRF Masses'!X51</f>
        <v>0</v>
      </c>
      <c r="Z25" s="73">
        <f>'[1]XRF Masses'!Y51</f>
        <v>0</v>
      </c>
      <c r="AA25" s="73">
        <f>'[1]XRF Masses'!Z51</f>
        <v>0</v>
      </c>
      <c r="AB25" s="73">
        <f>'[1]XRF Masses'!AA51</f>
        <v>1.0200000000000001E-2</v>
      </c>
      <c r="AC25" s="73">
        <f>'[1]XRF Masses'!AB51</f>
        <v>4.4999999999999997E-3</v>
      </c>
      <c r="AD25" s="73">
        <f>'[1]XRF Masses'!AC51</f>
        <v>0</v>
      </c>
      <c r="AE25" s="73">
        <f>'[1]XRF Masses'!AD51</f>
        <v>0</v>
      </c>
      <c r="AF25" s="73">
        <f>'[1]XRF Masses'!AE51</f>
        <v>0</v>
      </c>
      <c r="AG25" s="73">
        <f>'[1]XRF Masses'!AF51</f>
        <v>0</v>
      </c>
      <c r="AH25" s="73">
        <f>'[1]XRF Masses'!AG51</f>
        <v>0</v>
      </c>
      <c r="AI25" s="73">
        <f>'[1]XRF Masses'!AH51</f>
        <v>0</v>
      </c>
      <c r="AJ25" s="73">
        <f>'[1]XRF Masses'!AI51</f>
        <v>6.7999999999999996E-3</v>
      </c>
      <c r="AK25" s="73">
        <f>'[1]XRF Masses'!AJ51</f>
        <v>0</v>
      </c>
      <c r="AL25" s="73">
        <f>'[1]XRF Masses'!AK51</f>
        <v>0</v>
      </c>
      <c r="AM25" s="73">
        <f>'[1]XRF Masses'!AL51</f>
        <v>0</v>
      </c>
      <c r="AN25" s="73">
        <f>'[1]XRF Masses'!AM51</f>
        <v>0</v>
      </c>
      <c r="AO25" s="73">
        <f>'[1]XRF Masses'!AN51</f>
        <v>7.9000000000000008E-3</v>
      </c>
      <c r="AP25" s="73">
        <f>'[1]XRF Masses'!AO51</f>
        <v>0</v>
      </c>
      <c r="AQ25" s="73">
        <f>'[1]XRF Masses'!AP51</f>
        <v>0</v>
      </c>
      <c r="AR25" s="73">
        <f>'[1]XRF Masses'!AQ51</f>
        <v>0</v>
      </c>
      <c r="AS25" s="73">
        <f>'[1]XRF Masses'!AR51</f>
        <v>0</v>
      </c>
      <c r="AT25" s="73">
        <f>'[1]XRF Masses'!AS51</f>
        <v>4.4999999999999997E-3</v>
      </c>
      <c r="AU25" s="73">
        <f>'[1]XRF Masses'!AT51</f>
        <v>0</v>
      </c>
      <c r="AV25" s="73">
        <f>'[1]XRF Masses'!AU51</f>
        <v>6.7999999999999996E-3</v>
      </c>
      <c r="AW25" s="73">
        <f>'[1]Quartz Filter Masses'!C22</f>
        <v>1.54</v>
      </c>
      <c r="AX25" s="73">
        <f>'[1]Quartz Filter Masses'!D22</f>
        <v>0</v>
      </c>
      <c r="AY25" s="71">
        <f>'[1]Quartz Back Filter Masses'!C32</f>
        <v>1.1499999999999999</v>
      </c>
      <c r="AZ25" s="73">
        <f>'[1]Quartz Back Filter Masses'!D32</f>
        <v>0.01</v>
      </c>
      <c r="BA25" s="140">
        <f t="shared" si="0"/>
        <v>1.999999999981128E-3</v>
      </c>
      <c r="BB25" s="140">
        <f t="shared" si="1"/>
        <v>1.1349003461093125E-2</v>
      </c>
      <c r="BC25" s="140">
        <f t="shared" si="2"/>
        <v>0</v>
      </c>
      <c r="BD25" s="141">
        <f t="shared" si="3"/>
        <v>8.2620745196757949E-3</v>
      </c>
      <c r="BE25" s="142">
        <f t="shared" si="4"/>
        <v>9.0792027688745008E-5</v>
      </c>
      <c r="BF25" s="147">
        <v>0.24043200000000001</v>
      </c>
      <c r="BG25" s="148">
        <v>0.22911599999999999</v>
      </c>
      <c r="BH25" s="145">
        <f t="shared" si="5"/>
        <v>4.8199545094431334E-2</v>
      </c>
      <c r="BI25" s="119">
        <f t="shared" si="6"/>
        <v>8.3183602847421642E-3</v>
      </c>
      <c r="BJ25" s="146">
        <f t="shared" si="7"/>
        <v>0</v>
      </c>
      <c r="BK25" s="146">
        <f t="shared" si="8"/>
        <v>0</v>
      </c>
      <c r="BL25" s="146">
        <f t="shared" si="9"/>
        <v>0</v>
      </c>
      <c r="BM25" s="146">
        <f t="shared" si="10"/>
        <v>2.3291408797497834E-5</v>
      </c>
      <c r="BN25" s="146">
        <f t="shared" si="11"/>
        <v>0</v>
      </c>
      <c r="BO25" s="146">
        <f t="shared" si="12"/>
        <v>2.3291408797497834E-5</v>
      </c>
      <c r="BP25" s="146">
        <f t="shared" si="13"/>
        <v>1.3642110867105877E-4</v>
      </c>
      <c r="BQ25" s="146">
        <f t="shared" si="14"/>
        <v>4.6998735609236704E-5</v>
      </c>
      <c r="BR25" s="146">
        <f t="shared" si="15"/>
        <v>1.6927863179610033E-4</v>
      </c>
      <c r="BS25" s="146">
        <f t="shared" si="16"/>
        <v>9.5661143275437543E-6</v>
      </c>
      <c r="BT25" s="146">
        <f t="shared" si="17"/>
        <v>0</v>
      </c>
      <c r="BU25" s="146">
        <f t="shared" si="18"/>
        <v>0</v>
      </c>
      <c r="BV25" s="146">
        <f t="shared" si="19"/>
        <v>0</v>
      </c>
      <c r="BW25" s="146">
        <f t="shared" si="20"/>
        <v>2.8282424968390228E-5</v>
      </c>
      <c r="BX25" s="146">
        <f t="shared" si="21"/>
        <v>0</v>
      </c>
      <c r="BY25" s="146">
        <f t="shared" si="22"/>
        <v>0</v>
      </c>
      <c r="BZ25" s="146">
        <f t="shared" si="23"/>
        <v>0</v>
      </c>
      <c r="CA25" s="146">
        <f t="shared" si="24"/>
        <v>4.242363745258535E-5</v>
      </c>
      <c r="CB25" s="146">
        <f t="shared" si="25"/>
        <v>1.8716310640846473E-5</v>
      </c>
      <c r="CC25" s="146">
        <f t="shared" si="26"/>
        <v>0</v>
      </c>
      <c r="CD25" s="146">
        <f t="shared" si="27"/>
        <v>0</v>
      </c>
      <c r="CE25" s="146">
        <f t="shared" si="28"/>
        <v>0</v>
      </c>
      <c r="CF25" s="146">
        <f t="shared" si="29"/>
        <v>0</v>
      </c>
      <c r="CG25" s="146">
        <f t="shared" si="30"/>
        <v>0</v>
      </c>
      <c r="CH25" s="146">
        <f t="shared" si="31"/>
        <v>0</v>
      </c>
      <c r="CI25" s="146">
        <f t="shared" si="32"/>
        <v>2.8282424968390228E-5</v>
      </c>
      <c r="CJ25" s="146">
        <f t="shared" si="33"/>
        <v>0</v>
      </c>
      <c r="CK25" s="146">
        <f t="shared" si="34"/>
        <v>0</v>
      </c>
      <c r="CL25" s="146">
        <f t="shared" si="35"/>
        <v>0</v>
      </c>
      <c r="CM25" s="146">
        <f t="shared" si="36"/>
        <v>0</v>
      </c>
      <c r="CN25" s="146">
        <f t="shared" si="37"/>
        <v>3.2857523125041597E-5</v>
      </c>
      <c r="CO25" s="146">
        <f t="shared" si="38"/>
        <v>0</v>
      </c>
      <c r="CP25" s="146">
        <f t="shared" si="39"/>
        <v>0</v>
      </c>
      <c r="CQ25" s="146">
        <f t="shared" si="40"/>
        <v>0</v>
      </c>
      <c r="CR25" s="146">
        <f t="shared" si="41"/>
        <v>0</v>
      </c>
      <c r="CS25" s="146">
        <f t="shared" si="42"/>
        <v>1.8716310640846473E-5</v>
      </c>
      <c r="CT25" s="146">
        <f t="shared" si="43"/>
        <v>0</v>
      </c>
      <c r="CU25" s="146">
        <f t="shared" si="44"/>
        <v>2.8282424968390228E-5</v>
      </c>
      <c r="CV25" s="119">
        <f t="shared" si="48"/>
        <v>1.5170419406116652E-2</v>
      </c>
      <c r="CW25" s="119">
        <f t="shared" si="49"/>
        <v>-3.7762039865219693E-4</v>
      </c>
      <c r="CX25" s="119">
        <f t="shared" si="45"/>
        <v>1.4792799007464455E-2</v>
      </c>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P25">
        <f t="shared" si="46"/>
        <v>0</v>
      </c>
      <c r="EQ25">
        <f t="shared" si="47"/>
        <v>1</v>
      </c>
      <c r="HH25">
        <f t="shared" si="94"/>
        <v>1.823727139342928</v>
      </c>
      <c r="HI25" s="36">
        <f t="shared" si="91"/>
        <v>5.6745017306001078</v>
      </c>
      <c r="HJ25">
        <f t="shared" si="95"/>
        <v>-4.539601384480086E-2</v>
      </c>
      <c r="HK25">
        <f t="shared" si="92"/>
        <v>0</v>
      </c>
      <c r="HM25" s="36">
        <f t="shared" si="96"/>
        <v>1.7783311254981273</v>
      </c>
    </row>
    <row r="26" spans="1:221">
      <c r="I26" s="64"/>
      <c r="AZ26" s="9"/>
    </row>
    <row r="27" spans="1:221" s="86" customFormat="1">
      <c r="A27" s="85">
        <v>44258</v>
      </c>
      <c r="B27" s="86" t="s">
        <v>477</v>
      </c>
      <c r="E27" s="87" t="s">
        <v>478</v>
      </c>
      <c r="I27" s="88" t="s">
        <v>479</v>
      </c>
      <c r="J27" s="86">
        <f>'[1]Teflon Filter Masses'!$R$4</f>
        <v>5.8000000000220098E-3</v>
      </c>
      <c r="AW27" s="89">
        <f>'[1]Quartz Filter Masses'!C3</f>
        <v>0.28999999999999998</v>
      </c>
      <c r="AX27" s="89">
        <f>'[1]Quartz Filter Masses'!D3</f>
        <v>0</v>
      </c>
      <c r="AY27" s="86">
        <f>'[1]Quartz Back Filter Masses'!C33</f>
        <v>0.24</v>
      </c>
      <c r="AZ27" s="89">
        <f>'[1]Quartz Back Filter Masses'!D33</f>
        <v>0</v>
      </c>
      <c r="BI27" s="79">
        <f>AVERAGE(BI2,BI25)</f>
        <v>3.5975915745269288E-2</v>
      </c>
      <c r="BJ27" s="79">
        <f t="shared" ref="BJ27:CV27" si="98">AVERAGE(BJ2,BJ25)</f>
        <v>1.1767949941669318E-3</v>
      </c>
      <c r="BK27" s="79">
        <f t="shared" si="98"/>
        <v>0</v>
      </c>
      <c r="BL27" s="79">
        <f t="shared" si="98"/>
        <v>0</v>
      </c>
      <c r="BM27" s="79">
        <f t="shared" si="98"/>
        <v>2.3945353131570726E-4</v>
      </c>
      <c r="BN27" s="79">
        <f t="shared" si="98"/>
        <v>1.1878247958426133E-5</v>
      </c>
      <c r="BO27" s="79">
        <f t="shared" si="98"/>
        <v>1.0264156822312053E-4</v>
      </c>
      <c r="BP27" s="79">
        <f t="shared" si="98"/>
        <v>2.4086937287408065E-4</v>
      </c>
      <c r="BQ27" s="79">
        <f t="shared" si="98"/>
        <v>3.160012237808619E-4</v>
      </c>
      <c r="BR27" s="79">
        <f t="shared" si="98"/>
        <v>6.2382692858232211E-4</v>
      </c>
      <c r="BS27" s="79">
        <f t="shared" si="98"/>
        <v>4.7830571637718771E-6</v>
      </c>
      <c r="BT27" s="79">
        <f t="shared" si="98"/>
        <v>0</v>
      </c>
      <c r="BU27" s="79">
        <f t="shared" si="98"/>
        <v>8.1450843143493474E-5</v>
      </c>
      <c r="BV27" s="79">
        <f t="shared" si="98"/>
        <v>3.3513628168416591E-5</v>
      </c>
      <c r="BW27" s="79">
        <f t="shared" si="98"/>
        <v>2.7779589484711801E-4</v>
      </c>
      <c r="BX27" s="79">
        <f t="shared" si="98"/>
        <v>4.8785661257821612E-6</v>
      </c>
      <c r="BY27" s="79">
        <f t="shared" si="98"/>
        <v>2.3968607487538445E-5</v>
      </c>
      <c r="BZ27" s="79">
        <f t="shared" si="98"/>
        <v>0</v>
      </c>
      <c r="CA27" s="79">
        <f t="shared" si="98"/>
        <v>7.1482260978917558E-5</v>
      </c>
      <c r="CB27" s="79">
        <f t="shared" si="98"/>
        <v>2.6114969404631534E-5</v>
      </c>
      <c r="CC27" s="79">
        <f t="shared" si="98"/>
        <v>0</v>
      </c>
      <c r="CD27" s="79">
        <f t="shared" si="98"/>
        <v>1.1878247958426133E-5</v>
      </c>
      <c r="CE27" s="79">
        <f t="shared" si="98"/>
        <v>0</v>
      </c>
      <c r="CF27" s="79">
        <f t="shared" si="98"/>
        <v>4.8785661257821612E-6</v>
      </c>
      <c r="CG27" s="79">
        <f t="shared" si="98"/>
        <v>0</v>
      </c>
      <c r="CH27" s="79">
        <f t="shared" si="98"/>
        <v>0</v>
      </c>
      <c r="CI27" s="79">
        <f t="shared" si="98"/>
        <v>1.4141212484195114E-5</v>
      </c>
      <c r="CJ27" s="79">
        <f t="shared" si="98"/>
        <v>0</v>
      </c>
      <c r="CK27" s="79">
        <f t="shared" si="98"/>
        <v>0</v>
      </c>
      <c r="CL27" s="79">
        <f t="shared" si="98"/>
        <v>0</v>
      </c>
      <c r="CM27" s="79">
        <f t="shared" si="98"/>
        <v>0</v>
      </c>
      <c r="CN27" s="79">
        <f t="shared" si="98"/>
        <v>1.6428761562520798E-5</v>
      </c>
      <c r="CO27" s="79">
        <f t="shared" si="98"/>
        <v>0</v>
      </c>
      <c r="CP27" s="79">
        <f t="shared" si="98"/>
        <v>0</v>
      </c>
      <c r="CQ27" s="79">
        <f t="shared" si="98"/>
        <v>0</v>
      </c>
      <c r="CR27" s="79">
        <f t="shared" si="98"/>
        <v>0</v>
      </c>
      <c r="CS27" s="79">
        <f t="shared" si="98"/>
        <v>9.3581553204232363E-6</v>
      </c>
      <c r="CT27" s="79">
        <f t="shared" si="98"/>
        <v>0</v>
      </c>
      <c r="CU27" s="79">
        <f t="shared" si="98"/>
        <v>1.4141212484195114E-5</v>
      </c>
      <c r="CV27" s="79">
        <f t="shared" si="98"/>
        <v>8.3115459245682866E-3</v>
      </c>
      <c r="CW27" s="79">
        <f>AVERAGE(CW2,CW25)</f>
        <v>-1.8881019932609846E-4</v>
      </c>
    </row>
    <row r="28" spans="1:221">
      <c r="I28" s="64"/>
      <c r="CZ28" s="52" t="s">
        <v>480</v>
      </c>
    </row>
    <row r="30" spans="1:221">
      <c r="BI30" s="30"/>
    </row>
    <row r="32" spans="1:221" ht="30">
      <c r="B32" s="12" t="s">
        <v>481</v>
      </c>
    </row>
    <row r="33" spans="2:3">
      <c r="B33" s="12">
        <v>3.4</v>
      </c>
      <c r="C33" s="12" t="s">
        <v>482</v>
      </c>
    </row>
    <row r="34" spans="2:3" ht="30">
      <c r="B34" s="12" t="s">
        <v>483</v>
      </c>
    </row>
    <row r="35" spans="2:3">
      <c r="B35" s="12">
        <f>(PI()/4)*B33^2</f>
        <v>9.0792027688745005</v>
      </c>
      <c r="C35" s="12" t="s">
        <v>484</v>
      </c>
    </row>
  </sheetData>
  <conditionalFormatting sqref="HH17:HH25 HM2 HH7:HH14 HH2:HH4">
    <cfRule type="colorScale" priority="880">
      <colorScale>
        <cfvo type="num" val="0"/>
        <cfvo type="num" val="1"/>
        <color rgb="FFFCFCFF"/>
        <color theme="6" tint="0.59999389629810485"/>
      </colorScale>
    </cfRule>
  </conditionalFormatting>
  <conditionalFormatting sqref="EQ7:EQ24">
    <cfRule type="colorScale" priority="877">
      <colorScale>
        <cfvo type="num" val="0.75"/>
        <cfvo type="num" val="1"/>
        <color theme="0"/>
        <color theme="6"/>
      </colorScale>
    </cfRule>
  </conditionalFormatting>
  <conditionalFormatting sqref="HH15">
    <cfRule type="colorScale" priority="865">
      <colorScale>
        <cfvo type="num" val="0"/>
        <cfvo type="num" val="1"/>
        <color rgb="FFFCFCFF"/>
        <color theme="6" tint="0.59999389629810485"/>
      </colorScale>
    </cfRule>
  </conditionalFormatting>
  <conditionalFormatting sqref="HH16">
    <cfRule type="colorScale" priority="864">
      <colorScale>
        <cfvo type="num" val="0"/>
        <cfvo type="num" val="1"/>
        <color rgb="FFFCFCFF"/>
        <color theme="6" tint="0.59999389629810485"/>
      </colorScale>
    </cfRule>
  </conditionalFormatting>
  <conditionalFormatting sqref="BH7:BH25">
    <cfRule type="colorScale" priority="862">
      <colorScale>
        <cfvo type="num" val="0"/>
        <cfvo type="num" val="0.1"/>
        <color theme="0"/>
        <color theme="9"/>
      </colorScale>
    </cfRule>
  </conditionalFormatting>
  <conditionalFormatting sqref="EQ4">
    <cfRule type="colorScale" priority="81">
      <colorScale>
        <cfvo type="num" val="0.75"/>
        <cfvo type="num" val="1"/>
        <color theme="0"/>
        <color theme="6"/>
      </colorScale>
    </cfRule>
  </conditionalFormatting>
  <conditionalFormatting sqref="EQ3">
    <cfRule type="colorScale" priority="42">
      <colorScale>
        <cfvo type="num" val="0.75"/>
        <cfvo type="num" val="1"/>
        <color theme="0"/>
        <color theme="6"/>
      </colorScale>
    </cfRule>
  </conditionalFormatting>
  <conditionalFormatting sqref="CZ3:EK4 CZ7:EK24">
    <cfRule type="expression" dxfId="57" priority="881">
      <formula>(BJ3-BJ$27)&lt;0</formula>
    </cfRule>
  </conditionalFormatting>
  <conditionalFormatting sqref="HH5:HH6">
    <cfRule type="colorScale" priority="2">
      <colorScale>
        <cfvo type="num" val="0"/>
        <cfvo type="num" val="1"/>
        <color rgb="FFFCFCFF"/>
        <color theme="6" tint="0.59999389629810485"/>
      </colorScale>
    </cfRule>
  </conditionalFormatting>
  <conditionalFormatting sqref="EQ5:EQ6">
    <cfRule type="colorScale" priority="1">
      <colorScale>
        <cfvo type="num" val="0.75"/>
        <cfvo type="num" val="1"/>
        <color theme="0"/>
        <color theme="6"/>
      </colorScale>
    </cfRule>
  </conditionalFormatting>
  <conditionalFormatting sqref="CZ5:EK6">
    <cfRule type="expression" dxfId="56" priority="3">
      <formula>(BJ5-BJ$27)&lt;0</formula>
    </cfRule>
  </conditionalFormatting>
  <pageMargins left="0.7" right="0.7" top="0.75" bottom="0.75" header="0.3" footer="0.3"/>
  <pageSetup orientation="portrait" r:id="rId1"/>
  <ignoredErrors>
    <ignoredError sqref="EN3:EN24" 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52943-AA64-4A86-84B2-990C3975A857}">
  <dimension ref="A1:BR58"/>
  <sheetViews>
    <sheetView zoomScale="90" zoomScaleNormal="90" workbookViewId="0">
      <pane xSplit="4" ySplit="1" topLeftCell="E2" activePane="bottomRight" state="frozenSplit"/>
      <selection pane="topRight" activeCell="A7" sqref="A7"/>
      <selection pane="bottomLeft" activeCell="A7" sqref="A7"/>
      <selection pane="bottomRight" activeCell="A7" sqref="A7"/>
    </sheetView>
  </sheetViews>
  <sheetFormatPr defaultRowHeight="15"/>
  <cols>
    <col min="1" max="1" width="10.7109375" bestFit="1" customWidth="1"/>
    <col min="2" max="2" width="14.140625" customWidth="1"/>
    <col min="3" max="3" width="15.42578125" bestFit="1" customWidth="1"/>
    <col min="4" max="4" width="12.5703125" customWidth="1"/>
    <col min="5" max="6" width="19.5703125" bestFit="1" customWidth="1"/>
    <col min="10" max="10" width="8" bestFit="1" customWidth="1"/>
    <col min="11" max="12" width="8" customWidth="1"/>
    <col min="25" max="29" width="11" customWidth="1"/>
  </cols>
  <sheetData>
    <row r="1" spans="1:70" ht="45">
      <c r="A1" s="16" t="s">
        <v>18</v>
      </c>
      <c r="B1" s="12" t="s">
        <v>21</v>
      </c>
      <c r="C1" s="12" t="s">
        <v>23</v>
      </c>
      <c r="D1" s="12" t="s">
        <v>25</v>
      </c>
      <c r="E1" s="12" t="s">
        <v>27</v>
      </c>
      <c r="F1" s="12" t="s">
        <v>29</v>
      </c>
      <c r="G1" s="12" t="s">
        <v>211</v>
      </c>
      <c r="H1" s="12" t="s">
        <v>213</v>
      </c>
      <c r="I1" s="12" t="s">
        <v>215</v>
      </c>
      <c r="J1" s="12" t="s">
        <v>217</v>
      </c>
      <c r="K1" s="12" t="s">
        <v>220</v>
      </c>
      <c r="L1" s="12" t="s">
        <v>222</v>
      </c>
      <c r="M1" s="12" t="s">
        <v>224</v>
      </c>
      <c r="N1" s="12" t="s">
        <v>226</v>
      </c>
      <c r="O1" s="12" t="s">
        <v>228</v>
      </c>
      <c r="P1" s="12" t="s">
        <v>230</v>
      </c>
      <c r="Q1" s="12" t="s">
        <v>232</v>
      </c>
      <c r="R1" s="12" t="s">
        <v>234</v>
      </c>
      <c r="S1" s="12" t="s">
        <v>236</v>
      </c>
      <c r="T1" s="12" t="s">
        <v>238</v>
      </c>
      <c r="U1" s="12" t="s">
        <v>240</v>
      </c>
      <c r="V1" s="12" t="s">
        <v>242</v>
      </c>
      <c r="W1" s="12" t="s">
        <v>244</v>
      </c>
      <c r="X1" s="12" t="s">
        <v>246</v>
      </c>
      <c r="Y1" s="12" t="s">
        <v>248</v>
      </c>
      <c r="Z1" s="12" t="s">
        <v>250</v>
      </c>
      <c r="AA1" s="12" t="s">
        <v>252</v>
      </c>
      <c r="AB1" s="12" t="s">
        <v>254</v>
      </c>
      <c r="AC1" s="12" t="s">
        <v>256</v>
      </c>
      <c r="AD1" s="12" t="s">
        <v>258</v>
      </c>
      <c r="AE1" s="12" t="s">
        <v>261</v>
      </c>
      <c r="AF1" s="12" t="s">
        <v>263</v>
      </c>
      <c r="AG1" s="12" t="s">
        <v>265</v>
      </c>
      <c r="AH1" s="12" t="s">
        <v>267</v>
      </c>
      <c r="AI1" s="12" t="s">
        <v>269</v>
      </c>
      <c r="AJ1" s="8" t="s">
        <v>271</v>
      </c>
      <c r="AK1" s="8" t="s">
        <v>274</v>
      </c>
      <c r="AL1" s="157">
        <v>6.04</v>
      </c>
      <c r="AM1" s="157">
        <v>6.98</v>
      </c>
      <c r="AN1" s="157">
        <v>8.06</v>
      </c>
      <c r="AO1" s="157">
        <v>9.31</v>
      </c>
      <c r="AP1" s="157">
        <v>10.8</v>
      </c>
      <c r="AQ1" s="157">
        <v>12.4</v>
      </c>
      <c r="AR1" s="157">
        <v>14.3</v>
      </c>
      <c r="AS1" s="157">
        <v>16.5</v>
      </c>
      <c r="AT1" s="157">
        <v>19.100000000000001</v>
      </c>
      <c r="AU1" s="157">
        <v>22.1</v>
      </c>
      <c r="AV1" s="157">
        <v>25.5</v>
      </c>
      <c r="AW1" s="157">
        <v>29.4</v>
      </c>
      <c r="AX1" s="157">
        <v>34</v>
      </c>
      <c r="AY1" s="157">
        <v>39.200000000000003</v>
      </c>
      <c r="AZ1" s="157">
        <v>45.3</v>
      </c>
      <c r="BA1" s="157">
        <v>52.3</v>
      </c>
      <c r="BB1" s="157">
        <v>60.4</v>
      </c>
      <c r="BC1" s="157">
        <v>69.8</v>
      </c>
      <c r="BD1" s="157">
        <v>80.599999999999994</v>
      </c>
      <c r="BE1" s="157">
        <v>93.1</v>
      </c>
      <c r="BF1" s="157">
        <v>107.5</v>
      </c>
      <c r="BG1" s="157">
        <v>124.1</v>
      </c>
      <c r="BH1" s="157">
        <v>143.30000000000001</v>
      </c>
      <c r="BI1" s="157">
        <v>165.5</v>
      </c>
      <c r="BJ1" s="157">
        <v>191.1</v>
      </c>
      <c r="BK1" s="157">
        <v>220.7</v>
      </c>
      <c r="BL1" s="157">
        <v>254.8</v>
      </c>
      <c r="BM1" s="157">
        <v>294.3</v>
      </c>
      <c r="BN1" s="157">
        <v>339.8</v>
      </c>
      <c r="BO1" s="157">
        <v>392.4</v>
      </c>
      <c r="BP1" s="157">
        <v>453.2</v>
      </c>
      <c r="BQ1" s="157">
        <v>523.29999999999995</v>
      </c>
      <c r="BR1" t="s">
        <v>427</v>
      </c>
    </row>
    <row r="2" spans="1:70" s="1" customFormat="1" ht="15" customHeight="1">
      <c r="A2" s="62">
        <f>IF(ISBLANK('Phase CEMS PM Concentrations'!A2),"",'Phase CEMS PM Concentrations'!A2)</f>
        <v>44301</v>
      </c>
      <c r="B2" s="62" t="str">
        <f>IF(ISBLANK('Phase CEMS PM Concentrations'!B2),"",'Phase CEMS PM Concentrations'!B2)</f>
        <v>BK Princess</v>
      </c>
      <c r="C2" s="62" t="str">
        <f>IF(ISBLANK('Phase CEMS PM Concentrations'!C2),"",'Phase CEMS PM Concentrations'!C2)</f>
        <v>None</v>
      </c>
      <c r="D2" s="62" t="str">
        <f>IF(ISBLANK('Phase CEMS PM Concentrations'!D2),"",'Phase CEMS PM Concentrations'!D2)</f>
        <v>Background</v>
      </c>
      <c r="E2" s="63">
        <v>44301.400231481479</v>
      </c>
      <c r="F2" s="63">
        <v>44301.400902777779</v>
      </c>
      <c r="G2" s="43">
        <v>0.12745799999999999</v>
      </c>
      <c r="H2" s="43">
        <v>0.01</v>
      </c>
      <c r="I2" s="44">
        <v>20.992000000000001</v>
      </c>
      <c r="J2" s="66">
        <v>464.44200000000001</v>
      </c>
      <c r="K2" s="44">
        <v>-6.70627</v>
      </c>
      <c r="L2" s="44">
        <v>-1.3425400000000001</v>
      </c>
      <c r="M2" s="44">
        <v>2.3945799999999999</v>
      </c>
      <c r="N2" s="44"/>
      <c r="O2" s="44">
        <v>2.16949E-2</v>
      </c>
      <c r="P2" s="44">
        <v>3.91525E-2</v>
      </c>
      <c r="Q2" s="66">
        <v>43.857999999999997</v>
      </c>
      <c r="R2" s="44">
        <v>1.8660399999999999</v>
      </c>
      <c r="S2" s="44">
        <v>1.8545400000000001</v>
      </c>
      <c r="T2" s="44">
        <v>0.55770200000000003</v>
      </c>
      <c r="U2" s="44">
        <v>0.52864900000000004</v>
      </c>
      <c r="V2" s="44">
        <v>0.30640400000000001</v>
      </c>
      <c r="W2" s="44">
        <v>0.47315800000000002</v>
      </c>
      <c r="X2" s="44">
        <v>1.0582499999999999</v>
      </c>
      <c r="Y2" s="44"/>
      <c r="Z2" s="44"/>
      <c r="AA2" s="44"/>
      <c r="AB2" s="44"/>
      <c r="AC2" s="44"/>
      <c r="AD2" s="44"/>
      <c r="AE2" s="44"/>
      <c r="AF2" s="44"/>
      <c r="AG2" s="44"/>
      <c r="AH2" s="44"/>
      <c r="AI2" s="44"/>
      <c r="AJ2" s="67">
        <v>2653.19</v>
      </c>
      <c r="AK2" s="67">
        <v>2482.75</v>
      </c>
      <c r="AL2" s="1">
        <v>5.0526600000000004</v>
      </c>
      <c r="AM2" s="1">
        <v>6.02318</v>
      </c>
      <c r="AN2" s="1">
        <v>5.4661499999999998</v>
      </c>
      <c r="AO2" s="1">
        <v>8.4174100000000003</v>
      </c>
      <c r="AP2" s="1">
        <v>8.5469799999999996</v>
      </c>
      <c r="AQ2" s="1">
        <v>5.4088500000000002</v>
      </c>
      <c r="AR2" s="1">
        <v>4.6685499999999998</v>
      </c>
      <c r="AS2" s="1">
        <v>5.0026799999999998</v>
      </c>
      <c r="AT2" s="1">
        <v>4.7386200000000001</v>
      </c>
      <c r="AU2" s="1">
        <v>3.82599</v>
      </c>
      <c r="AV2" s="1">
        <v>3.7333400000000001</v>
      </c>
      <c r="AW2" s="1">
        <v>3.7770000000000001</v>
      </c>
      <c r="AX2" s="1">
        <v>3.5295999999999998</v>
      </c>
      <c r="AY2" s="1">
        <v>2.7015500000000001</v>
      </c>
      <c r="AZ2" s="1">
        <v>2.1975500000000001</v>
      </c>
      <c r="BA2" s="1">
        <v>1.82728</v>
      </c>
      <c r="BB2" s="1">
        <v>1.53362</v>
      </c>
      <c r="BC2" s="1">
        <v>1.3399799999999999</v>
      </c>
      <c r="BD2" s="1">
        <v>1.1327799999999999</v>
      </c>
      <c r="BE2" s="1">
        <v>0.80785200000000001</v>
      </c>
      <c r="BF2" s="1">
        <v>0.66462600000000005</v>
      </c>
      <c r="BG2" s="1">
        <v>0.53690499999999997</v>
      </c>
      <c r="BH2" s="1">
        <v>0.50094099999999997</v>
      </c>
      <c r="BI2" s="1">
        <v>0.54730800000000002</v>
      </c>
      <c r="BJ2" s="1">
        <v>0.55107899999999999</v>
      </c>
      <c r="BK2" s="1">
        <v>0.475383</v>
      </c>
      <c r="BL2" s="1">
        <v>0.39619900000000002</v>
      </c>
      <c r="BM2" s="1">
        <v>0.296871</v>
      </c>
      <c r="BN2" s="1">
        <v>0.22017</v>
      </c>
      <c r="BO2" s="1">
        <v>0.170569</v>
      </c>
      <c r="BP2" s="1">
        <v>0.13660800000000001</v>
      </c>
      <c r="BQ2" s="1">
        <v>0.113533</v>
      </c>
      <c r="BR2" s="1" t="s">
        <v>485</v>
      </c>
    </row>
    <row r="3" spans="1:70" ht="15" customHeight="1">
      <c r="A3" s="20">
        <f>IF(ISBLANK('Phase CEMS PM Concentrations'!A3),"",'Phase CEMS PM Concentrations'!A3)</f>
        <v>44308</v>
      </c>
      <c r="B3" s="20" t="str">
        <f>IF(ISBLANK('Phase CEMS PM Concentrations'!B3),"",'Phase CEMS PM Concentrations'!B3)</f>
        <v>BK Princess</v>
      </c>
      <c r="C3" s="20" t="str">
        <f>IF(ISBLANK('Phase CEMS PM Concentrations'!C3),"",'Phase CEMS PM Concentrations'!C3)</f>
        <v>Wet spruce</v>
      </c>
      <c r="D3" s="20" t="str">
        <f>IF(ISBLANK('Phase CEMS PM Concentrations'!D3),"",'Phase CEMS PM Concentrations'!D3)</f>
        <v>Startup</v>
      </c>
      <c r="E3" s="38">
        <v>44308.377280092594</v>
      </c>
      <c r="F3" s="38">
        <v>44308.379930555559</v>
      </c>
      <c r="G3" s="2">
        <v>3.2478300000000002E-2</v>
      </c>
      <c r="H3" s="2">
        <v>0</v>
      </c>
      <c r="I3" s="9">
        <v>21.325299999999999</v>
      </c>
      <c r="J3" s="25">
        <v>441.19600000000003</v>
      </c>
      <c r="K3" s="9">
        <v>-5.1189600000000004</v>
      </c>
      <c r="L3" s="9">
        <v>-0.28765200000000002</v>
      </c>
      <c r="M3" s="9">
        <v>2.0595699999999999</v>
      </c>
      <c r="N3" s="9">
        <v>1.78548</v>
      </c>
      <c r="O3" s="9">
        <v>3.1739099999999999E-2</v>
      </c>
      <c r="P3" s="9">
        <v>5.0434800000000002E-2</v>
      </c>
      <c r="Q3" s="25">
        <v>37.1599</v>
      </c>
      <c r="R3" s="9">
        <v>-3.7742400000000002E-2</v>
      </c>
      <c r="S3" s="9">
        <v>3.4572100000000001E-2</v>
      </c>
      <c r="T3" s="9">
        <v>-1.9825300000000001E-3</v>
      </c>
      <c r="U3" s="9">
        <v>2.83974E-2</v>
      </c>
      <c r="V3" s="9">
        <v>7.4672499999999999E-3</v>
      </c>
      <c r="W3" s="9">
        <v>3.5336199999999998E-2</v>
      </c>
      <c r="X3" s="9">
        <v>5.47162E-3</v>
      </c>
      <c r="Y3" s="9">
        <v>0.24166499999999999</v>
      </c>
      <c r="Z3" s="9">
        <v>-0.62844299999999997</v>
      </c>
      <c r="AA3" s="9">
        <v>-1.00837</v>
      </c>
      <c r="AB3" s="9">
        <v>-0.56483499999999998</v>
      </c>
      <c r="AC3" s="9">
        <v>2.9491300000000002E-2</v>
      </c>
      <c r="AD3" s="9">
        <v>-0.19701199999999999</v>
      </c>
      <c r="AE3" s="9">
        <v>0.36876999999999999</v>
      </c>
      <c r="AF3" s="9">
        <v>-4.1827800000000002</v>
      </c>
      <c r="AG3" s="9">
        <v>-6.16683</v>
      </c>
      <c r="AH3" s="9">
        <v>-7.2770900000000003</v>
      </c>
      <c r="AI3" s="9">
        <v>-24.636399999999998</v>
      </c>
      <c r="AJ3" s="27">
        <v>877.27800000000002</v>
      </c>
      <c r="AK3" s="27">
        <v>704.40700000000004</v>
      </c>
      <c r="AL3">
        <v>0.13842499999999999</v>
      </c>
      <c r="AM3">
        <v>0.84554099999999999</v>
      </c>
      <c r="AN3">
        <v>1.5134099999999999</v>
      </c>
      <c r="AO3">
        <v>2.7005499999999998</v>
      </c>
      <c r="AP3">
        <v>2.6185200000000002</v>
      </c>
      <c r="AQ3">
        <v>1.15052</v>
      </c>
      <c r="AR3">
        <v>1.2072799999999999</v>
      </c>
      <c r="AS3">
        <v>1.9635400000000001</v>
      </c>
      <c r="AT3">
        <v>2.1223700000000001</v>
      </c>
      <c r="AU3">
        <v>1.5725800000000001</v>
      </c>
      <c r="AV3">
        <v>1.29091</v>
      </c>
      <c r="AW3">
        <v>0.90567299999999995</v>
      </c>
      <c r="AX3">
        <v>0.74959200000000004</v>
      </c>
      <c r="AY3">
        <v>0.50936199999999998</v>
      </c>
      <c r="AZ3">
        <v>0.47423700000000002</v>
      </c>
      <c r="BA3">
        <v>0.54036499999999998</v>
      </c>
      <c r="BB3">
        <v>0.63860300000000003</v>
      </c>
      <c r="BC3">
        <v>0.60092500000000004</v>
      </c>
      <c r="BD3">
        <v>0.56643600000000005</v>
      </c>
      <c r="BE3">
        <v>0.46232400000000001</v>
      </c>
      <c r="BF3">
        <v>0.477601</v>
      </c>
      <c r="BG3">
        <v>0.52132800000000001</v>
      </c>
      <c r="BH3">
        <v>0.60314400000000001</v>
      </c>
      <c r="BI3">
        <v>0.69132800000000005</v>
      </c>
      <c r="BJ3">
        <v>0.700743</v>
      </c>
      <c r="BK3">
        <v>0.59946200000000005</v>
      </c>
      <c r="BL3">
        <v>0.48021200000000003</v>
      </c>
      <c r="BM3">
        <v>0.33891199999999999</v>
      </c>
      <c r="BN3">
        <v>0.230239</v>
      </c>
      <c r="BO3">
        <v>0.153117</v>
      </c>
      <c r="BP3">
        <v>9.98777E-2</v>
      </c>
      <c r="BQ3">
        <v>6.7534899999999995E-2</v>
      </c>
    </row>
    <row r="4" spans="1:70" ht="15" customHeight="1">
      <c r="A4" s="20">
        <f>IF(ISBLANK('Phase CEMS PM Concentrations'!A4),"",'Phase CEMS PM Concentrations'!A4)</f>
        <v>44308</v>
      </c>
      <c r="B4" s="20" t="str">
        <f>IF(ISBLANK('Phase CEMS PM Concentrations'!B4),"",'Phase CEMS PM Concentrations'!B4)</f>
        <v>BK Princess</v>
      </c>
      <c r="C4" s="20" t="str">
        <f>IF(ISBLANK('Phase CEMS PM Concentrations'!C4),"",'Phase CEMS PM Concentrations'!C4)</f>
        <v>Wet spruce</v>
      </c>
      <c r="D4" s="20" t="str">
        <f>IF(ISBLANK('Phase CEMS PM Concentrations'!D4),"",'Phase CEMS PM Concentrations'!D4)</f>
        <v>High</v>
      </c>
      <c r="E4" s="38">
        <v>44308.377280092594</v>
      </c>
      <c r="F4" s="38">
        <v>44308.379930555559</v>
      </c>
      <c r="G4" s="2">
        <v>3.2478300000000002E-2</v>
      </c>
      <c r="H4" s="2">
        <v>0</v>
      </c>
      <c r="I4" s="9">
        <v>21.325299999999999</v>
      </c>
      <c r="J4" s="25">
        <v>441.19600000000003</v>
      </c>
      <c r="K4" s="9">
        <v>-5.1189600000000004</v>
      </c>
      <c r="L4" s="9">
        <v>-0.28765200000000002</v>
      </c>
      <c r="M4" s="9">
        <v>2.0595699999999999</v>
      </c>
      <c r="N4" s="9">
        <v>1.78548</v>
      </c>
      <c r="O4" s="9">
        <v>3.1739099999999999E-2</v>
      </c>
      <c r="P4" s="9">
        <v>5.0434800000000002E-2</v>
      </c>
      <c r="Q4" s="25">
        <v>37.1599</v>
      </c>
      <c r="R4" s="9">
        <v>-3.7742400000000002E-2</v>
      </c>
      <c r="S4" s="9">
        <v>3.4572100000000001E-2</v>
      </c>
      <c r="T4" s="9">
        <v>-1.9825300000000001E-3</v>
      </c>
      <c r="U4" s="9">
        <v>2.83974E-2</v>
      </c>
      <c r="V4" s="9">
        <v>7.4672499999999999E-3</v>
      </c>
      <c r="W4" s="9">
        <v>3.5336199999999998E-2</v>
      </c>
      <c r="X4" s="9">
        <v>5.47162E-3</v>
      </c>
      <c r="Y4" s="9">
        <v>0.24166499999999999</v>
      </c>
      <c r="Z4" s="9">
        <v>-0.62844299999999997</v>
      </c>
      <c r="AA4" s="9">
        <v>-1.00837</v>
      </c>
      <c r="AB4" s="9">
        <v>-0.56483499999999998</v>
      </c>
      <c r="AC4" s="9">
        <v>2.9491300000000002E-2</v>
      </c>
      <c r="AD4" s="9">
        <v>-0.19701199999999999</v>
      </c>
      <c r="AE4" s="9">
        <v>0.36876999999999999</v>
      </c>
      <c r="AF4" s="9">
        <v>-4.1827800000000002</v>
      </c>
      <c r="AG4" s="9">
        <v>-6.16683</v>
      </c>
      <c r="AH4" s="9">
        <v>-7.2770900000000003</v>
      </c>
      <c r="AI4" s="9">
        <v>-24.636399999999998</v>
      </c>
      <c r="AJ4" s="27">
        <v>877.27800000000002</v>
      </c>
      <c r="AK4" s="27">
        <v>704.40700000000004</v>
      </c>
      <c r="AL4">
        <v>0.13842499999999999</v>
      </c>
      <c r="AM4">
        <v>0.84554099999999999</v>
      </c>
      <c r="AN4">
        <v>1.5134099999999999</v>
      </c>
      <c r="AO4">
        <v>2.7005499999999998</v>
      </c>
      <c r="AP4">
        <v>2.6185200000000002</v>
      </c>
      <c r="AQ4">
        <v>1.15052</v>
      </c>
      <c r="AR4">
        <v>1.2072799999999999</v>
      </c>
      <c r="AS4">
        <v>1.9635400000000001</v>
      </c>
      <c r="AT4">
        <v>2.1223700000000001</v>
      </c>
      <c r="AU4">
        <v>1.5725800000000001</v>
      </c>
      <c r="AV4">
        <v>1.29091</v>
      </c>
      <c r="AW4">
        <v>0.90567299999999995</v>
      </c>
      <c r="AX4">
        <v>0.74959200000000004</v>
      </c>
      <c r="AY4">
        <v>0.50936199999999998</v>
      </c>
      <c r="AZ4">
        <v>0.47423700000000002</v>
      </c>
      <c r="BA4">
        <v>0.54036499999999998</v>
      </c>
      <c r="BB4">
        <v>0.63860300000000003</v>
      </c>
      <c r="BC4">
        <v>0.60092500000000004</v>
      </c>
      <c r="BD4">
        <v>0.56643600000000005</v>
      </c>
      <c r="BE4">
        <v>0.46232400000000001</v>
      </c>
      <c r="BF4">
        <v>0.477601</v>
      </c>
      <c r="BG4">
        <v>0.52132800000000001</v>
      </c>
      <c r="BH4">
        <v>0.60314400000000001</v>
      </c>
      <c r="BI4">
        <v>0.69132800000000005</v>
      </c>
      <c r="BJ4">
        <v>0.700743</v>
      </c>
      <c r="BK4">
        <v>0.59946200000000005</v>
      </c>
      <c r="BL4">
        <v>0.48021200000000003</v>
      </c>
      <c r="BM4">
        <v>0.33891199999999999</v>
      </c>
      <c r="BN4">
        <v>0.230239</v>
      </c>
      <c r="BO4">
        <v>0.153117</v>
      </c>
      <c r="BP4">
        <v>9.98777E-2</v>
      </c>
      <c r="BQ4">
        <v>6.7534899999999995E-2</v>
      </c>
    </row>
    <row r="5" spans="1:70" ht="15" customHeight="1">
      <c r="A5" s="20">
        <f>IF(ISBLANK('Phase CEMS PM Concentrations'!A5),"",'Phase CEMS PM Concentrations'!A5)</f>
        <v>44312</v>
      </c>
      <c r="B5" s="20" t="str">
        <f>IF(ISBLANK('Phase CEMS PM Concentrations'!B5),"",'Phase CEMS PM Concentrations'!B5)</f>
        <v>BK Princess</v>
      </c>
      <c r="C5" s="20" t="str">
        <f>IF(ISBLANK('Phase CEMS PM Concentrations'!C5),"",'Phase CEMS PM Concentrations'!C5)</f>
        <v>Wet spruce</v>
      </c>
      <c r="D5" s="20" t="str">
        <f>IF(ISBLANK('Phase CEMS PM Concentrations'!D5),"",'Phase CEMS PM Concentrations'!D5)</f>
        <v>Startup</v>
      </c>
      <c r="E5" s="38">
        <v>44312.374328703707</v>
      </c>
      <c r="F5" s="38">
        <v>44312.375856481478</v>
      </c>
      <c r="G5" s="35">
        <v>5.03008E-2</v>
      </c>
      <c r="H5" s="2">
        <v>0</v>
      </c>
      <c r="I5" s="9">
        <v>20.704000000000001</v>
      </c>
      <c r="J5" s="25">
        <v>460.34500000000003</v>
      </c>
      <c r="K5" s="9">
        <v>-13.573499999999999</v>
      </c>
      <c r="L5" s="9">
        <v>-3.7218000000000001E-2</v>
      </c>
      <c r="M5" s="28">
        <v>2.47444</v>
      </c>
      <c r="N5" s="9">
        <v>1.93398</v>
      </c>
      <c r="O5" s="9">
        <v>3.0375900000000001E-2</v>
      </c>
      <c r="P5" s="9">
        <v>6.3759399999999994E-2</v>
      </c>
      <c r="Q5" s="25">
        <v>39.335599999999999</v>
      </c>
      <c r="R5" s="9">
        <v>5.3909800000000001E-2</v>
      </c>
      <c r="S5" s="9">
        <v>3.9691700000000003E-2</v>
      </c>
      <c r="T5" s="9">
        <v>0.121729</v>
      </c>
      <c r="U5" s="9">
        <v>0.307226</v>
      </c>
      <c r="V5" s="9">
        <v>6.7315799999999995E-2</v>
      </c>
      <c r="W5" s="9">
        <v>0.12975900000000001</v>
      </c>
      <c r="X5" s="9">
        <v>0.14715</v>
      </c>
      <c r="Y5" s="9">
        <v>0.36165399999999998</v>
      </c>
      <c r="Z5" s="9">
        <v>-0.17108300000000001</v>
      </c>
      <c r="AA5" s="9">
        <v>7.1909799999999996E-2</v>
      </c>
      <c r="AB5" s="9">
        <v>-1.6578900000000001E-2</v>
      </c>
      <c r="AC5" s="9">
        <v>0.293263</v>
      </c>
      <c r="AD5" s="9">
        <v>2.4814600000000002</v>
      </c>
      <c r="AE5" s="9">
        <v>-4.7411300000000001</v>
      </c>
      <c r="AF5" s="9">
        <v>-9.0061</v>
      </c>
      <c r="AG5" s="9">
        <v>7.7956200000000004</v>
      </c>
      <c r="AH5" s="9">
        <v>15.084199999999999</v>
      </c>
      <c r="AI5" s="9">
        <v>22.607199999999999</v>
      </c>
      <c r="AJ5" s="27">
        <v>2572.2600000000002</v>
      </c>
      <c r="AK5" s="27">
        <v>1982.64</v>
      </c>
      <c r="AL5">
        <v>0.96276399999999995</v>
      </c>
      <c r="AM5">
        <v>1.3841000000000001</v>
      </c>
      <c r="AN5">
        <v>2.02088</v>
      </c>
      <c r="AO5">
        <v>4.4644000000000004</v>
      </c>
      <c r="AP5">
        <v>4.6846800000000002</v>
      </c>
      <c r="AQ5">
        <v>2.4765799999999998</v>
      </c>
      <c r="AR5">
        <v>2.6739999999999999</v>
      </c>
      <c r="AS5">
        <v>3.2355499999999999</v>
      </c>
      <c r="AT5">
        <v>3.7344300000000001</v>
      </c>
      <c r="AU5">
        <v>3.4264000000000001</v>
      </c>
      <c r="AV5">
        <v>3.1950500000000002</v>
      </c>
      <c r="AW5">
        <v>2.7702</v>
      </c>
      <c r="AX5">
        <v>2.96923</v>
      </c>
      <c r="AY5">
        <v>3.5915300000000001</v>
      </c>
      <c r="AZ5">
        <v>4.1427899999999998</v>
      </c>
      <c r="BA5">
        <v>4.5631399999999998</v>
      </c>
      <c r="BB5">
        <v>4.5442200000000001</v>
      </c>
      <c r="BC5">
        <v>4.0515499999999998</v>
      </c>
      <c r="BD5">
        <v>3.5353400000000001</v>
      </c>
      <c r="BE5">
        <v>2.9689399999999999</v>
      </c>
      <c r="BF5">
        <v>2.6000899999999998</v>
      </c>
      <c r="BG5">
        <v>2.3896799999999998</v>
      </c>
      <c r="BH5">
        <v>2.2141899999999999</v>
      </c>
      <c r="BI5">
        <v>2.0730300000000002</v>
      </c>
      <c r="BJ5">
        <v>1.8059499999999999</v>
      </c>
      <c r="BK5">
        <v>1.409</v>
      </c>
      <c r="BL5">
        <v>1.0479400000000001</v>
      </c>
      <c r="BM5">
        <v>0.71874300000000002</v>
      </c>
      <c r="BN5">
        <v>0.49002000000000001</v>
      </c>
      <c r="BO5">
        <v>0.36411399999999999</v>
      </c>
      <c r="BP5">
        <v>0.27188699999999999</v>
      </c>
      <c r="BQ5">
        <v>0.21149599999999999</v>
      </c>
    </row>
    <row r="6" spans="1:70" ht="15" customHeight="1">
      <c r="A6" s="20">
        <f>IF(ISBLANK('Phase CEMS PM Concentrations'!A6),"",'Phase CEMS PM Concentrations'!A6)</f>
        <v>44312</v>
      </c>
      <c r="B6" s="20" t="str">
        <f>IF(ISBLANK('Phase CEMS PM Concentrations'!B6),"",'Phase CEMS PM Concentrations'!B6)</f>
        <v>BK Princess</v>
      </c>
      <c r="C6" s="20" t="str">
        <f>IF(ISBLANK('Phase CEMS PM Concentrations'!C6),"",'Phase CEMS PM Concentrations'!C6)</f>
        <v>Wet spruce</v>
      </c>
      <c r="D6" s="20" t="str">
        <f>IF(ISBLANK('Phase CEMS PM Concentrations'!D6),"",'Phase CEMS PM Concentrations'!D6)</f>
        <v>High</v>
      </c>
      <c r="E6" s="38">
        <v>44312.374328703707</v>
      </c>
      <c r="F6" s="38">
        <v>44312.375856481478</v>
      </c>
      <c r="G6" s="35">
        <v>5.03008E-2</v>
      </c>
      <c r="H6" s="2">
        <v>0</v>
      </c>
      <c r="I6" s="9">
        <v>20.704000000000001</v>
      </c>
      <c r="J6" s="25">
        <v>460.34500000000003</v>
      </c>
      <c r="K6" s="9">
        <v>-13.573499999999999</v>
      </c>
      <c r="L6" s="9">
        <v>-3.7218000000000001E-2</v>
      </c>
      <c r="M6" s="28">
        <v>2.47444</v>
      </c>
      <c r="N6" s="9">
        <v>1.93398</v>
      </c>
      <c r="O6" s="9">
        <v>3.0375900000000001E-2</v>
      </c>
      <c r="P6" s="9">
        <v>6.3759399999999994E-2</v>
      </c>
      <c r="Q6" s="25">
        <v>39.335599999999999</v>
      </c>
      <c r="R6" s="9">
        <v>5.3909800000000001E-2</v>
      </c>
      <c r="S6" s="9">
        <v>3.9691700000000003E-2</v>
      </c>
      <c r="T6" s="9">
        <v>0.121729</v>
      </c>
      <c r="U6" s="9">
        <v>0.307226</v>
      </c>
      <c r="V6" s="9">
        <v>6.7315799999999995E-2</v>
      </c>
      <c r="W6" s="9">
        <v>0.12975900000000001</v>
      </c>
      <c r="X6" s="9">
        <v>0.14715</v>
      </c>
      <c r="Y6" s="9">
        <v>0.36165399999999998</v>
      </c>
      <c r="Z6" s="9">
        <v>-0.17108300000000001</v>
      </c>
      <c r="AA6" s="9">
        <v>7.1909799999999996E-2</v>
      </c>
      <c r="AB6" s="9">
        <v>-1.6578900000000001E-2</v>
      </c>
      <c r="AC6" s="9">
        <v>0.293263</v>
      </c>
      <c r="AD6" s="9">
        <v>2.4814600000000002</v>
      </c>
      <c r="AE6" s="9">
        <v>-4.7411300000000001</v>
      </c>
      <c r="AF6" s="9">
        <v>-9.0061</v>
      </c>
      <c r="AG6" s="9">
        <v>7.7956200000000004</v>
      </c>
      <c r="AH6" s="9">
        <v>15.084199999999999</v>
      </c>
      <c r="AI6" s="9">
        <v>22.607199999999999</v>
      </c>
      <c r="AJ6" s="27">
        <v>2572.2600000000002</v>
      </c>
      <c r="AK6" s="27">
        <v>1982.64</v>
      </c>
      <c r="AL6">
        <v>0.96276399999999995</v>
      </c>
      <c r="AM6">
        <v>1.3841000000000001</v>
      </c>
      <c r="AN6">
        <v>2.02088</v>
      </c>
      <c r="AO6">
        <v>4.4644000000000004</v>
      </c>
      <c r="AP6">
        <v>4.6846800000000002</v>
      </c>
      <c r="AQ6">
        <v>2.4765799999999998</v>
      </c>
      <c r="AR6">
        <v>2.6739999999999999</v>
      </c>
      <c r="AS6">
        <v>3.2355499999999999</v>
      </c>
      <c r="AT6">
        <v>3.7344300000000001</v>
      </c>
      <c r="AU6">
        <v>3.4264000000000001</v>
      </c>
      <c r="AV6">
        <v>3.1950500000000002</v>
      </c>
      <c r="AW6">
        <v>2.7702</v>
      </c>
      <c r="AX6">
        <v>2.96923</v>
      </c>
      <c r="AY6">
        <v>3.5915300000000001</v>
      </c>
      <c r="AZ6">
        <v>4.1427899999999998</v>
      </c>
      <c r="BA6">
        <v>4.5631399999999998</v>
      </c>
      <c r="BB6">
        <v>4.5442200000000001</v>
      </c>
      <c r="BC6">
        <v>4.0515499999999998</v>
      </c>
      <c r="BD6">
        <v>3.5353400000000001</v>
      </c>
      <c r="BE6">
        <v>2.9689399999999999</v>
      </c>
      <c r="BF6">
        <v>2.6000899999999998</v>
      </c>
      <c r="BG6">
        <v>2.3896799999999998</v>
      </c>
      <c r="BH6">
        <v>2.2141899999999999</v>
      </c>
      <c r="BI6">
        <v>2.0730300000000002</v>
      </c>
      <c r="BJ6">
        <v>1.8059499999999999</v>
      </c>
      <c r="BK6">
        <v>1.409</v>
      </c>
      <c r="BL6">
        <v>1.0479400000000001</v>
      </c>
      <c r="BM6">
        <v>0.71874300000000002</v>
      </c>
      <c r="BN6">
        <v>0.49002000000000001</v>
      </c>
      <c r="BO6">
        <v>0.36411399999999999</v>
      </c>
      <c r="BP6">
        <v>0.27188699999999999</v>
      </c>
      <c r="BQ6">
        <v>0.21149599999999999</v>
      </c>
    </row>
    <row r="7" spans="1:70" ht="15" customHeight="1">
      <c r="A7" s="20">
        <f>IF(ISBLANK('Phase CEMS PM Concentrations'!A7),"",'Phase CEMS PM Concentrations'!A7)</f>
        <v>44313</v>
      </c>
      <c r="B7" s="20" t="str">
        <f>IF(ISBLANK('Phase CEMS PM Concentrations'!B7),"",'Phase CEMS PM Concentrations'!B7)</f>
        <v>BK Princess</v>
      </c>
      <c r="C7" s="20" t="str">
        <f>IF(ISBLANK('Phase CEMS PM Concentrations'!C7),"",'Phase CEMS PM Concentrations'!C7)</f>
        <v>Wet spruce</v>
      </c>
      <c r="D7" s="20" t="str">
        <f>IF(ISBLANK('Phase CEMS PM Concentrations'!D7),"",'Phase CEMS PM Concentrations'!D7)</f>
        <v>Startup</v>
      </c>
      <c r="E7" s="38">
        <v>44313.372094907405</v>
      </c>
      <c r="F7" s="38">
        <v>44313.373622685183</v>
      </c>
      <c r="G7" s="2">
        <v>4.9473700000000002E-2</v>
      </c>
      <c r="H7" s="2">
        <v>0.01</v>
      </c>
      <c r="I7" s="9">
        <v>21.0794</v>
      </c>
      <c r="J7" s="25">
        <v>463.86799999999999</v>
      </c>
      <c r="K7" s="9">
        <v>-5.1034600000000001</v>
      </c>
      <c r="L7" s="9">
        <v>-0.175263</v>
      </c>
      <c r="M7" s="9">
        <v>2.2724799999999998</v>
      </c>
      <c r="N7" s="9"/>
      <c r="O7" s="9">
        <v>2.4887200000000002E-2</v>
      </c>
      <c r="P7" s="9">
        <v>4.82707E-2</v>
      </c>
      <c r="Q7" s="25">
        <v>35.5426</v>
      </c>
      <c r="R7" s="9">
        <v>-7.1369199999999994E-2</v>
      </c>
      <c r="S7" s="9">
        <v>1.17923E-2</v>
      </c>
      <c r="T7" s="9">
        <v>2.5692300000000001E-2</v>
      </c>
      <c r="U7" s="9">
        <v>7.0930800000000002E-2</v>
      </c>
      <c r="V7" s="9">
        <v>7.1215399999999998E-2</v>
      </c>
      <c r="W7" s="9">
        <v>8.9746199999999998E-2</v>
      </c>
      <c r="X7" s="9">
        <v>-5.3538500000000003E-3</v>
      </c>
      <c r="Y7" s="9">
        <v>0.26558599999999999</v>
      </c>
      <c r="Z7" s="9">
        <v>-0.29623300000000002</v>
      </c>
      <c r="AA7" s="9">
        <v>-0.157744</v>
      </c>
      <c r="AB7" s="9">
        <v>-0.22262399999999999</v>
      </c>
      <c r="AC7" s="9">
        <v>0.10885</v>
      </c>
      <c r="AD7" s="9">
        <v>0.162159</v>
      </c>
      <c r="AE7" s="9">
        <v>0.88739000000000001</v>
      </c>
      <c r="AF7" s="9">
        <v>-2.8649</v>
      </c>
      <c r="AG7" s="9">
        <v>0.70135000000000003</v>
      </c>
      <c r="AH7" s="9">
        <v>1.4991699999999999</v>
      </c>
      <c r="AI7" s="9">
        <v>1.84013</v>
      </c>
      <c r="AJ7" s="27">
        <v>1102.55</v>
      </c>
      <c r="AK7" s="27">
        <v>938.58100000000002</v>
      </c>
      <c r="AL7">
        <v>0.85426999999999997</v>
      </c>
      <c r="AM7">
        <v>1.02901</v>
      </c>
      <c r="AN7">
        <v>1.4995499999999999</v>
      </c>
      <c r="AO7">
        <v>3.54827</v>
      </c>
      <c r="AP7">
        <v>3.6770299999999998</v>
      </c>
      <c r="AQ7">
        <v>2.1176900000000001</v>
      </c>
      <c r="AR7">
        <v>1.86086</v>
      </c>
      <c r="AS7">
        <v>1.93275</v>
      </c>
      <c r="AT7">
        <v>1.9935400000000001</v>
      </c>
      <c r="AU7">
        <v>2.1499899999999998</v>
      </c>
      <c r="AV7">
        <v>2.0632299999999999</v>
      </c>
      <c r="AW7">
        <v>1.5481</v>
      </c>
      <c r="AX7">
        <v>1.1452</v>
      </c>
      <c r="AY7">
        <v>0.66190199999999999</v>
      </c>
      <c r="AZ7">
        <v>0.49166399999999999</v>
      </c>
      <c r="BA7">
        <v>0.51236000000000004</v>
      </c>
      <c r="BB7">
        <v>0.675176</v>
      </c>
      <c r="BC7">
        <v>0.83921500000000004</v>
      </c>
      <c r="BD7">
        <v>0.95304800000000001</v>
      </c>
      <c r="BE7">
        <v>0.900976</v>
      </c>
      <c r="BF7">
        <v>0.84359799999999996</v>
      </c>
      <c r="BG7">
        <v>0.69970100000000002</v>
      </c>
      <c r="BH7">
        <v>0.58799100000000004</v>
      </c>
      <c r="BI7">
        <v>0.50084499999999998</v>
      </c>
      <c r="BJ7">
        <v>0.42065399999999997</v>
      </c>
      <c r="BK7">
        <v>0.33453699999999997</v>
      </c>
      <c r="BL7">
        <v>0.25890000000000002</v>
      </c>
      <c r="BM7">
        <v>0.18831999999999999</v>
      </c>
      <c r="BN7">
        <v>0.139125</v>
      </c>
      <c r="BO7">
        <v>0.112555</v>
      </c>
      <c r="BP7">
        <v>9.45072E-2</v>
      </c>
      <c r="BQ7">
        <v>8.11838E-2</v>
      </c>
    </row>
    <row r="8" spans="1:70" ht="15" customHeight="1">
      <c r="A8" s="20">
        <f>IF(ISBLANK('Phase CEMS PM Concentrations'!A8),"",'Phase CEMS PM Concentrations'!A8)</f>
        <v>44313</v>
      </c>
      <c r="B8" s="20" t="str">
        <f>IF(ISBLANK('Phase CEMS PM Concentrations'!B8),"",'Phase CEMS PM Concentrations'!B8)</f>
        <v>BK Princess</v>
      </c>
      <c r="C8" s="20" t="str">
        <f>IF(ISBLANK('Phase CEMS PM Concentrations'!C8),"",'Phase CEMS PM Concentrations'!C8)</f>
        <v>Wet spruce</v>
      </c>
      <c r="D8" s="20" t="str">
        <f>IF(ISBLANK('Phase CEMS PM Concentrations'!D8),"",'Phase CEMS PM Concentrations'!D8)</f>
        <v>Low</v>
      </c>
      <c r="E8" s="38">
        <v>44313.372094907405</v>
      </c>
      <c r="F8" s="38">
        <v>44313.373622685183</v>
      </c>
      <c r="G8" s="2">
        <v>4.9473700000000002E-2</v>
      </c>
      <c r="H8" s="2">
        <v>0.01</v>
      </c>
      <c r="I8" s="9">
        <v>21.0794</v>
      </c>
      <c r="J8" s="25">
        <v>463.86799999999999</v>
      </c>
      <c r="K8" s="9">
        <v>-5.1034600000000001</v>
      </c>
      <c r="L8" s="9">
        <v>-0.175263</v>
      </c>
      <c r="M8" s="9">
        <v>2.2724799999999998</v>
      </c>
      <c r="N8" s="9"/>
      <c r="O8" s="9">
        <v>2.4887200000000002E-2</v>
      </c>
      <c r="P8" s="9">
        <v>4.82707E-2</v>
      </c>
      <c r="Q8" s="25">
        <v>35.5426</v>
      </c>
      <c r="R8" s="9">
        <v>-7.1369199999999994E-2</v>
      </c>
      <c r="S8" s="9">
        <v>1.17923E-2</v>
      </c>
      <c r="T8" s="9">
        <v>2.5692300000000001E-2</v>
      </c>
      <c r="U8" s="9">
        <v>7.0930800000000002E-2</v>
      </c>
      <c r="V8" s="9">
        <v>7.1215399999999998E-2</v>
      </c>
      <c r="W8" s="9">
        <v>8.9746199999999998E-2</v>
      </c>
      <c r="X8" s="9">
        <v>-5.3538500000000003E-3</v>
      </c>
      <c r="Y8" s="9">
        <v>0.26558599999999999</v>
      </c>
      <c r="Z8" s="9">
        <v>-0.29623300000000002</v>
      </c>
      <c r="AA8" s="9">
        <v>-0.157744</v>
      </c>
      <c r="AB8" s="9">
        <v>-0.22262399999999999</v>
      </c>
      <c r="AC8" s="9">
        <v>0.10885</v>
      </c>
      <c r="AD8" s="9">
        <v>0.162159</v>
      </c>
      <c r="AE8" s="9">
        <v>0.88739000000000001</v>
      </c>
      <c r="AF8" s="9">
        <v>-2.8649</v>
      </c>
      <c r="AG8" s="9">
        <v>0.70135000000000003</v>
      </c>
      <c r="AH8" s="9">
        <v>1.4991699999999999</v>
      </c>
      <c r="AI8" s="9">
        <v>1.84013</v>
      </c>
      <c r="AJ8" s="27">
        <v>1102.55</v>
      </c>
      <c r="AK8" s="27">
        <v>938.58100000000002</v>
      </c>
      <c r="AL8">
        <v>0.85426999999999997</v>
      </c>
      <c r="AM8">
        <v>1.02901</v>
      </c>
      <c r="AN8">
        <v>1.4995499999999999</v>
      </c>
      <c r="AO8">
        <v>3.54827</v>
      </c>
      <c r="AP8">
        <v>3.6770299999999998</v>
      </c>
      <c r="AQ8">
        <v>2.1176900000000001</v>
      </c>
      <c r="AR8">
        <v>1.86086</v>
      </c>
      <c r="AS8">
        <v>1.93275</v>
      </c>
      <c r="AT8">
        <v>1.9935400000000001</v>
      </c>
      <c r="AU8">
        <v>2.1499899999999998</v>
      </c>
      <c r="AV8">
        <v>2.0632299999999999</v>
      </c>
      <c r="AW8">
        <v>1.5481</v>
      </c>
      <c r="AX8">
        <v>1.1452</v>
      </c>
      <c r="AY8">
        <v>0.66190199999999999</v>
      </c>
      <c r="AZ8">
        <v>0.49166399999999999</v>
      </c>
      <c r="BA8">
        <v>0.51236000000000004</v>
      </c>
      <c r="BB8">
        <v>0.675176</v>
      </c>
      <c r="BC8">
        <v>0.83921500000000004</v>
      </c>
      <c r="BD8">
        <v>0.95304800000000001</v>
      </c>
      <c r="BE8">
        <v>0.900976</v>
      </c>
      <c r="BF8">
        <v>0.84359799999999996</v>
      </c>
      <c r="BG8">
        <v>0.69970100000000002</v>
      </c>
      <c r="BH8">
        <v>0.58799100000000004</v>
      </c>
      <c r="BI8">
        <v>0.50084499999999998</v>
      </c>
      <c r="BJ8">
        <v>0.42065399999999997</v>
      </c>
      <c r="BK8">
        <v>0.33453699999999997</v>
      </c>
      <c r="BL8">
        <v>0.25890000000000002</v>
      </c>
      <c r="BM8">
        <v>0.18831999999999999</v>
      </c>
      <c r="BN8">
        <v>0.139125</v>
      </c>
      <c r="BO8">
        <v>0.112555</v>
      </c>
      <c r="BP8">
        <v>9.45072E-2</v>
      </c>
      <c r="BQ8">
        <v>8.11838E-2</v>
      </c>
    </row>
    <row r="9" spans="1:70">
      <c r="A9" s="20">
        <f>IF(ISBLANK('Phase CEMS PM Concentrations'!A9),"",'Phase CEMS PM Concentrations'!A9)</f>
        <v>44314</v>
      </c>
      <c r="B9" s="20" t="str">
        <f>IF(ISBLANK('Phase CEMS PM Concentrations'!B9),"",'Phase CEMS PM Concentrations'!B9)</f>
        <v>BK Princess</v>
      </c>
      <c r="C9" s="20" t="str">
        <f>IF(ISBLANK('Phase CEMS PM Concentrations'!C9),"",'Phase CEMS PM Concentrations'!C9)</f>
        <v>Wet spruce</v>
      </c>
      <c r="D9" s="20" t="str">
        <f>IF(ISBLANK('Phase CEMS PM Concentrations'!D9),"",'Phase CEMS PM Concentrations'!D9)</f>
        <v>Startup</v>
      </c>
      <c r="E9" s="38">
        <v>44314.345949074072</v>
      </c>
      <c r="F9" s="38">
        <v>44314.347025462965</v>
      </c>
      <c r="G9" s="2">
        <v>7.7659599999999995E-2</v>
      </c>
      <c r="H9" s="2">
        <v>0.01</v>
      </c>
      <c r="I9" s="9">
        <v>20.798300000000001</v>
      </c>
      <c r="J9" s="25">
        <v>455.19900000000001</v>
      </c>
      <c r="K9" s="9">
        <v>-4.1718099999999998</v>
      </c>
      <c r="L9" s="9">
        <v>-1.11702E-2</v>
      </c>
      <c r="M9" s="9">
        <v>2.3874499999999999</v>
      </c>
      <c r="N9" s="9">
        <v>1.8667</v>
      </c>
      <c r="O9" s="9">
        <v>4.1489400000000003E-2</v>
      </c>
      <c r="P9" s="9">
        <v>6.1702100000000003E-2</v>
      </c>
      <c r="Q9" s="25">
        <v>33.677100000000003</v>
      </c>
      <c r="R9" s="9"/>
      <c r="S9" s="9"/>
      <c r="T9" s="9"/>
      <c r="U9" s="9"/>
      <c r="V9" s="9"/>
      <c r="W9" s="9"/>
      <c r="X9" s="9"/>
      <c r="Y9" s="9">
        <v>0.305309</v>
      </c>
      <c r="Z9" s="9">
        <v>-5.3670200000000001E-2</v>
      </c>
      <c r="AA9" s="9">
        <v>-8.4053199999999995E-2</v>
      </c>
      <c r="AB9" s="9">
        <v>-0.100511</v>
      </c>
      <c r="AC9" s="9">
        <v>0.25022299999999997</v>
      </c>
      <c r="AD9" s="9">
        <v>-0.69949600000000001</v>
      </c>
      <c r="AE9" s="9">
        <v>-4.9944100000000002</v>
      </c>
      <c r="AF9" s="9">
        <v>-4.0219100000000001</v>
      </c>
      <c r="AG9" s="9">
        <v>-7.4542099999999998</v>
      </c>
      <c r="AH9" s="9">
        <v>-4.5778699999999999</v>
      </c>
      <c r="AI9" s="9">
        <v>-28.374600000000001</v>
      </c>
      <c r="AJ9" s="27">
        <v>1245.7</v>
      </c>
      <c r="AK9" s="27">
        <v>1211.01</v>
      </c>
      <c r="AL9" s="9">
        <v>1.3224</v>
      </c>
      <c r="AM9" s="9">
        <v>2.83527</v>
      </c>
      <c r="AN9" s="9">
        <v>4.1339399999999999</v>
      </c>
      <c r="AO9" s="9">
        <v>6.8365</v>
      </c>
      <c r="AP9" s="9">
        <v>6.6007699999999998</v>
      </c>
      <c r="AQ9" s="9">
        <v>2.6557599999999999</v>
      </c>
      <c r="AR9" s="9">
        <v>1.7976799999999999</v>
      </c>
      <c r="AS9" s="9">
        <v>3.64018</v>
      </c>
      <c r="AT9" s="9">
        <v>2.3627600000000002</v>
      </c>
      <c r="AU9" s="9">
        <v>0.28278300000000001</v>
      </c>
      <c r="AV9" s="9">
        <v>0.21612100000000001</v>
      </c>
      <c r="AW9" s="9">
        <v>0.67623500000000003</v>
      </c>
      <c r="AX9" s="9">
        <v>1.11537</v>
      </c>
      <c r="AY9" s="9">
        <v>1.1676599999999999</v>
      </c>
      <c r="AZ9" s="9">
        <v>1.05677</v>
      </c>
      <c r="BA9" s="9">
        <v>0.55626299999999995</v>
      </c>
      <c r="BB9" s="9">
        <v>0.35716199999999998</v>
      </c>
      <c r="BC9" s="9">
        <v>0.32377099999999998</v>
      </c>
      <c r="BD9" s="9">
        <v>0.31362600000000002</v>
      </c>
      <c r="BE9" s="9">
        <v>0.19777800000000001</v>
      </c>
      <c r="BF9" s="9">
        <v>0.16636899999999999</v>
      </c>
      <c r="BG9" s="9">
        <v>0.11826299999999999</v>
      </c>
      <c r="BH9" s="9">
        <v>0.104153</v>
      </c>
      <c r="BI9" s="9">
        <v>0.108837</v>
      </c>
      <c r="BJ9" s="9">
        <v>0.106975</v>
      </c>
      <c r="BK9" s="9">
        <v>7.8342599999999998E-2</v>
      </c>
      <c r="BL9" s="9">
        <v>6.0062699999999997E-2</v>
      </c>
      <c r="BM9" s="9">
        <v>4.2324899999999999E-2</v>
      </c>
      <c r="BN9" s="9">
        <v>3.4723400000000001E-2</v>
      </c>
      <c r="BO9" s="9">
        <v>2.9509400000000002E-2</v>
      </c>
      <c r="BP9" s="9">
        <v>2.7044599999999999E-2</v>
      </c>
      <c r="BQ9" s="9">
        <v>2.1262300000000001E-2</v>
      </c>
    </row>
    <row r="10" spans="1:70">
      <c r="A10" s="20">
        <f>IF(ISBLANK('Phase CEMS PM Concentrations'!A10),"",'Phase CEMS PM Concentrations'!A10)</f>
        <v>44314</v>
      </c>
      <c r="B10" s="20" t="str">
        <f>IF(ISBLANK('Phase CEMS PM Concentrations'!B10),"",'Phase CEMS PM Concentrations'!B10)</f>
        <v>BK Princess</v>
      </c>
      <c r="C10" s="20" t="str">
        <f>IF(ISBLANK('Phase CEMS PM Concentrations'!C10),"",'Phase CEMS PM Concentrations'!C10)</f>
        <v>Wet spruce</v>
      </c>
      <c r="D10" s="20" t="str">
        <f>IF(ISBLANK('Phase CEMS PM Concentrations'!D10),"",'Phase CEMS PM Concentrations'!D10)</f>
        <v>Low</v>
      </c>
      <c r="E10" s="38">
        <v>44314.345949074072</v>
      </c>
      <c r="F10" s="38">
        <v>44314.347025462965</v>
      </c>
      <c r="G10" s="2">
        <v>7.7659599999999995E-2</v>
      </c>
      <c r="H10" s="2">
        <v>0.01</v>
      </c>
      <c r="I10" s="9">
        <v>20.798300000000001</v>
      </c>
      <c r="J10" s="25">
        <v>455.19900000000001</v>
      </c>
      <c r="K10" s="9">
        <v>-4.1718099999999998</v>
      </c>
      <c r="L10" s="9">
        <v>-1.11702E-2</v>
      </c>
      <c r="M10" s="9">
        <v>2.3874499999999999</v>
      </c>
      <c r="N10" s="9">
        <v>1.8667</v>
      </c>
      <c r="O10" s="9">
        <v>4.1489400000000003E-2</v>
      </c>
      <c r="P10" s="9">
        <v>6.1702100000000003E-2</v>
      </c>
      <c r="Q10" s="25">
        <v>33.677100000000003</v>
      </c>
      <c r="R10" s="9"/>
      <c r="S10" s="9"/>
      <c r="T10" s="9"/>
      <c r="U10" s="9"/>
      <c r="V10" s="9"/>
      <c r="W10" s="9"/>
      <c r="X10" s="9"/>
      <c r="Y10" s="9">
        <v>0.305309</v>
      </c>
      <c r="Z10" s="9">
        <v>-5.3670200000000001E-2</v>
      </c>
      <c r="AA10" s="9">
        <v>-8.4053199999999995E-2</v>
      </c>
      <c r="AB10" s="9">
        <v>-0.100511</v>
      </c>
      <c r="AC10" s="9">
        <v>0.25022299999999997</v>
      </c>
      <c r="AD10" s="9">
        <v>-0.69949600000000001</v>
      </c>
      <c r="AE10" s="9">
        <v>-4.9944100000000002</v>
      </c>
      <c r="AF10" s="9">
        <v>-4.0219100000000001</v>
      </c>
      <c r="AG10" s="9">
        <v>-7.4542099999999998</v>
      </c>
      <c r="AH10" s="9">
        <v>-4.5778699999999999</v>
      </c>
      <c r="AI10" s="9">
        <v>-28.374600000000001</v>
      </c>
      <c r="AJ10" s="27">
        <v>1245.7</v>
      </c>
      <c r="AK10" s="27">
        <v>1211.01</v>
      </c>
      <c r="AL10" s="9">
        <v>1.3224</v>
      </c>
      <c r="AM10" s="9">
        <v>2.83527</v>
      </c>
      <c r="AN10" s="9">
        <v>4.1339399999999999</v>
      </c>
      <c r="AO10" s="9">
        <v>6.8365</v>
      </c>
      <c r="AP10" s="9">
        <v>6.6007699999999998</v>
      </c>
      <c r="AQ10" s="9">
        <v>2.6557599999999999</v>
      </c>
      <c r="AR10" s="9">
        <v>1.7976799999999999</v>
      </c>
      <c r="AS10" s="9">
        <v>3.64018</v>
      </c>
      <c r="AT10" s="9">
        <v>2.3627600000000002</v>
      </c>
      <c r="AU10" s="9">
        <v>0.28278300000000001</v>
      </c>
      <c r="AV10" s="9">
        <v>0.21612100000000001</v>
      </c>
      <c r="AW10" s="9">
        <v>0.67623500000000003</v>
      </c>
      <c r="AX10" s="9">
        <v>1.11537</v>
      </c>
      <c r="AY10" s="9">
        <v>1.1676599999999999</v>
      </c>
      <c r="AZ10" s="9">
        <v>1.05677</v>
      </c>
      <c r="BA10" s="9">
        <v>0.55626299999999995</v>
      </c>
      <c r="BB10" s="9">
        <v>0.35716199999999998</v>
      </c>
      <c r="BC10" s="9">
        <v>0.32377099999999998</v>
      </c>
      <c r="BD10" s="9">
        <v>0.31362600000000002</v>
      </c>
      <c r="BE10" s="9">
        <v>0.19777800000000001</v>
      </c>
      <c r="BF10" s="9">
        <v>0.16636899999999999</v>
      </c>
      <c r="BG10" s="9">
        <v>0.11826299999999999</v>
      </c>
      <c r="BH10" s="9">
        <v>0.104153</v>
      </c>
      <c r="BI10" s="9">
        <v>0.108837</v>
      </c>
      <c r="BJ10" s="9">
        <v>0.106975</v>
      </c>
      <c r="BK10" s="9">
        <v>7.8342599999999998E-2</v>
      </c>
      <c r="BL10" s="9">
        <v>6.0062699999999997E-2</v>
      </c>
      <c r="BM10" s="9">
        <v>4.2324899999999999E-2</v>
      </c>
      <c r="BN10" s="9">
        <v>3.4723400000000001E-2</v>
      </c>
      <c r="BO10" s="9">
        <v>2.9509400000000002E-2</v>
      </c>
      <c r="BP10" s="9">
        <v>2.7044599999999999E-2</v>
      </c>
      <c r="BQ10" s="9">
        <v>2.1262300000000001E-2</v>
      </c>
    </row>
    <row r="11" spans="1:70" ht="15" customHeight="1">
      <c r="A11" s="20">
        <f>IF(ISBLANK('Phase CEMS PM Concentrations'!A11),"",'Phase CEMS PM Concentrations'!A11)</f>
        <v>44315</v>
      </c>
      <c r="B11" s="20" t="str">
        <f>IF(ISBLANK('Phase CEMS PM Concentrations'!B11),"",'Phase CEMS PM Concentrations'!B11)</f>
        <v>BK Princess</v>
      </c>
      <c r="C11" s="20" t="str">
        <f>IF(ISBLANK('Phase CEMS PM Concentrations'!C11),"",'Phase CEMS PM Concentrations'!C11)</f>
        <v>Wet spruce</v>
      </c>
      <c r="D11" s="20" t="str">
        <f>IF(ISBLANK('Phase CEMS PM Concentrations'!D11),"",'Phase CEMS PM Concentrations'!D11)</f>
        <v>Startup</v>
      </c>
      <c r="E11" s="38">
        <v>44315.342673611114</v>
      </c>
      <c r="F11" s="38">
        <v>44315.343449074076</v>
      </c>
      <c r="G11" s="2">
        <v>7.0735300000000001E-2</v>
      </c>
      <c r="H11" s="2">
        <v>0.01</v>
      </c>
      <c r="I11" s="9">
        <v>20.785</v>
      </c>
      <c r="J11" s="25">
        <v>459.846</v>
      </c>
      <c r="K11" s="9">
        <v>1.2177899999999999</v>
      </c>
      <c r="L11" s="9">
        <v>0.20235300000000001</v>
      </c>
      <c r="M11" s="9">
        <v>2.7591199999999998</v>
      </c>
      <c r="N11" s="9">
        <v>1.92191</v>
      </c>
      <c r="O11" s="9">
        <v>2.36765E-2</v>
      </c>
      <c r="P11" s="9">
        <v>3.8529399999999998E-2</v>
      </c>
      <c r="Q11" s="25">
        <v>33.332500000000003</v>
      </c>
      <c r="R11" s="9">
        <v>2.7909099999999999E-2</v>
      </c>
      <c r="S11" s="9">
        <v>-4.1060600000000003E-2</v>
      </c>
      <c r="T11" s="9">
        <v>3.6833299999999999E-2</v>
      </c>
      <c r="U11" s="9">
        <v>-4.7060600000000001E-2</v>
      </c>
      <c r="V11" s="9">
        <v>1.9348500000000001E-2</v>
      </c>
      <c r="W11" s="9">
        <v>-1.5151500000000001E-5</v>
      </c>
      <c r="X11" s="9">
        <v>9.8606100000000002E-2</v>
      </c>
      <c r="Y11" s="9">
        <v>0.46980899999999998</v>
      </c>
      <c r="Z11" s="9">
        <v>-0.37844100000000003</v>
      </c>
      <c r="AA11" s="9">
        <v>-0.36716199999999999</v>
      </c>
      <c r="AB11" s="9">
        <v>-4.9426499999999998E-2</v>
      </c>
      <c r="AC11" s="9">
        <v>0.20549999999999999</v>
      </c>
      <c r="AD11" s="9">
        <v>-0.22207399999999999</v>
      </c>
      <c r="AE11" s="9">
        <v>1.4</v>
      </c>
      <c r="AF11" s="9">
        <v>0.66040399999999999</v>
      </c>
      <c r="AG11" s="9">
        <v>-0.12257999999999999</v>
      </c>
      <c r="AH11" s="9">
        <v>0.174564</v>
      </c>
      <c r="AI11" s="9">
        <v>-0.34813699999999997</v>
      </c>
      <c r="AJ11" s="27">
        <v>723.17200000000003</v>
      </c>
      <c r="AK11" s="27">
        <v>719.83699999999999</v>
      </c>
      <c r="AL11" s="9">
        <v>1.9032199999999999E-2</v>
      </c>
      <c r="AM11" s="9">
        <v>0.375282</v>
      </c>
      <c r="AN11" s="9">
        <v>2.41886</v>
      </c>
      <c r="AO11" s="9">
        <v>8.6452600000000004</v>
      </c>
      <c r="AP11" s="9">
        <v>8.2480799999999999</v>
      </c>
      <c r="AQ11" s="9">
        <v>1.5549599999999999</v>
      </c>
      <c r="AR11" s="9">
        <v>1.3659900000000001E-2</v>
      </c>
      <c r="AS11" s="9">
        <v>0.10634299999999999</v>
      </c>
      <c r="AT11" s="9">
        <v>8.3672800000000006E-2</v>
      </c>
      <c r="AU11" s="9">
        <v>0</v>
      </c>
      <c r="AV11" s="9">
        <v>6.2553800000000007E-2</v>
      </c>
      <c r="AW11" s="9">
        <v>0.27518500000000001</v>
      </c>
      <c r="AX11" s="9">
        <v>0.565724</v>
      </c>
      <c r="AY11" s="9">
        <v>0.29957600000000001</v>
      </c>
      <c r="AZ11" s="9">
        <v>8.9339699999999994E-2</v>
      </c>
      <c r="BA11" s="9">
        <v>1.09418E-2</v>
      </c>
      <c r="BB11" s="9">
        <v>8.1804100000000008E-3</v>
      </c>
      <c r="BC11" s="9">
        <v>1.60953E-2</v>
      </c>
      <c r="BD11" s="9">
        <v>3.7912000000000001E-2</v>
      </c>
      <c r="BE11" s="9">
        <v>3.6232399999999998E-2</v>
      </c>
      <c r="BF11" s="9">
        <v>4.0732600000000001E-2</v>
      </c>
      <c r="BG11" s="9">
        <v>2.2104800000000001E-2</v>
      </c>
      <c r="BH11" s="9">
        <v>6.6980900000000003E-3</v>
      </c>
      <c r="BI11" s="9">
        <v>0</v>
      </c>
      <c r="BJ11" s="9">
        <v>0</v>
      </c>
      <c r="BK11" s="9">
        <v>0</v>
      </c>
      <c r="BL11" s="9">
        <v>0</v>
      </c>
      <c r="BM11" s="9">
        <v>0</v>
      </c>
      <c r="BN11" s="9">
        <v>0</v>
      </c>
      <c r="BO11" s="9">
        <v>0</v>
      </c>
      <c r="BP11" s="9">
        <v>0</v>
      </c>
      <c r="BQ11" s="9">
        <v>0</v>
      </c>
    </row>
    <row r="12" spans="1:70" ht="15" customHeight="1">
      <c r="A12" s="20">
        <f>IF(ISBLANK('Phase CEMS PM Concentrations'!A12),"",'Phase CEMS PM Concentrations'!A12)</f>
        <v>44315</v>
      </c>
      <c r="B12" s="20" t="str">
        <f>IF(ISBLANK('Phase CEMS PM Concentrations'!B12),"",'Phase CEMS PM Concentrations'!B12)</f>
        <v>BK Princess</v>
      </c>
      <c r="C12" s="20" t="str">
        <f>IF(ISBLANK('Phase CEMS PM Concentrations'!C12),"",'Phase CEMS PM Concentrations'!C12)</f>
        <v>Wet spruce</v>
      </c>
      <c r="D12" s="20" t="str">
        <f>IF(ISBLANK('Phase CEMS PM Concentrations'!D12),"",'Phase CEMS PM Concentrations'!D12)</f>
        <v>Low</v>
      </c>
      <c r="E12" s="38">
        <v>44315.342673611114</v>
      </c>
      <c r="F12" s="38">
        <v>44315.343449074076</v>
      </c>
      <c r="G12" s="2">
        <v>7.0735300000000001E-2</v>
      </c>
      <c r="H12" s="2">
        <v>0.01</v>
      </c>
      <c r="I12" s="9">
        <v>20.785</v>
      </c>
      <c r="J12" s="25">
        <v>459.846</v>
      </c>
      <c r="K12" s="9">
        <v>1.2177899999999999</v>
      </c>
      <c r="L12" s="9">
        <v>0.20235300000000001</v>
      </c>
      <c r="M12" s="9">
        <v>2.7591199999999998</v>
      </c>
      <c r="N12" s="9">
        <v>1.92191</v>
      </c>
      <c r="O12" s="9">
        <v>2.36765E-2</v>
      </c>
      <c r="P12" s="9">
        <v>3.8529399999999998E-2</v>
      </c>
      <c r="Q12" s="25">
        <v>33.332500000000003</v>
      </c>
      <c r="R12" s="9">
        <v>2.7909099999999999E-2</v>
      </c>
      <c r="S12" s="9">
        <v>-4.1060600000000003E-2</v>
      </c>
      <c r="T12" s="9">
        <v>3.6833299999999999E-2</v>
      </c>
      <c r="U12" s="9">
        <v>-4.7060600000000001E-2</v>
      </c>
      <c r="V12" s="9">
        <v>1.9348500000000001E-2</v>
      </c>
      <c r="W12" s="9">
        <v>-1.5151500000000001E-5</v>
      </c>
      <c r="X12" s="9">
        <v>9.8606100000000002E-2</v>
      </c>
      <c r="Y12" s="9">
        <v>0.46980899999999998</v>
      </c>
      <c r="Z12" s="9">
        <v>-0.37844100000000003</v>
      </c>
      <c r="AA12" s="9">
        <v>-0.36716199999999999</v>
      </c>
      <c r="AB12" s="9">
        <v>-4.9426499999999998E-2</v>
      </c>
      <c r="AC12" s="9">
        <v>0.20549999999999999</v>
      </c>
      <c r="AD12" s="9">
        <v>-0.22207399999999999</v>
      </c>
      <c r="AE12" s="9">
        <v>1.4</v>
      </c>
      <c r="AF12" s="9">
        <v>0.66040399999999999</v>
      </c>
      <c r="AG12" s="9">
        <v>-0.12257999999999999</v>
      </c>
      <c r="AH12" s="9">
        <v>0.174564</v>
      </c>
      <c r="AI12" s="9">
        <v>-0.34813699999999997</v>
      </c>
      <c r="AJ12" s="27">
        <v>723.17200000000003</v>
      </c>
      <c r="AK12" s="27">
        <v>719.83699999999999</v>
      </c>
      <c r="AL12" s="9">
        <v>1.9032199999999999E-2</v>
      </c>
      <c r="AM12" s="9">
        <v>0.375282</v>
      </c>
      <c r="AN12" s="9">
        <v>2.41886</v>
      </c>
      <c r="AO12" s="9">
        <v>8.6452600000000004</v>
      </c>
      <c r="AP12" s="9">
        <v>8.2480799999999999</v>
      </c>
      <c r="AQ12" s="9">
        <v>1.5549599999999999</v>
      </c>
      <c r="AR12" s="9">
        <v>1.3659900000000001E-2</v>
      </c>
      <c r="AS12" s="9">
        <v>0.10634299999999999</v>
      </c>
      <c r="AT12" s="9">
        <v>8.3672800000000006E-2</v>
      </c>
      <c r="AU12" s="9">
        <v>0</v>
      </c>
      <c r="AV12" s="9">
        <v>6.2553800000000007E-2</v>
      </c>
      <c r="AW12" s="9">
        <v>0.27518500000000001</v>
      </c>
      <c r="AX12" s="9">
        <v>0.565724</v>
      </c>
      <c r="AY12" s="9">
        <v>0.29957600000000001</v>
      </c>
      <c r="AZ12" s="9">
        <v>8.9339699999999994E-2</v>
      </c>
      <c r="BA12" s="9">
        <v>1.09418E-2</v>
      </c>
      <c r="BB12" s="9">
        <v>8.1804100000000008E-3</v>
      </c>
      <c r="BC12" s="9">
        <v>1.60953E-2</v>
      </c>
      <c r="BD12" s="9">
        <v>3.7912000000000001E-2</v>
      </c>
      <c r="BE12" s="9">
        <v>3.6232399999999998E-2</v>
      </c>
      <c r="BF12" s="9">
        <v>4.0732600000000001E-2</v>
      </c>
      <c r="BG12" s="9">
        <v>2.2104800000000001E-2</v>
      </c>
      <c r="BH12" s="9">
        <v>6.6980900000000003E-3</v>
      </c>
      <c r="BI12" s="9">
        <v>0</v>
      </c>
      <c r="BJ12" s="9">
        <v>0</v>
      </c>
      <c r="BK12" s="9">
        <v>0</v>
      </c>
      <c r="BL12" s="9">
        <v>0</v>
      </c>
      <c r="BM12" s="9">
        <v>0</v>
      </c>
      <c r="BN12" s="9">
        <v>0</v>
      </c>
      <c r="BO12" s="9">
        <v>0</v>
      </c>
      <c r="BP12" s="9">
        <v>0</v>
      </c>
      <c r="BQ12" s="9">
        <v>0</v>
      </c>
    </row>
    <row r="13" spans="1:70">
      <c r="A13" s="20">
        <f>IF(ISBLANK('Phase CEMS PM Concentrations'!A13),"",'Phase CEMS PM Concentrations'!A13)</f>
        <v>44326</v>
      </c>
      <c r="B13" s="20" t="str">
        <f>IF(ISBLANK('Phase CEMS PM Concentrations'!B13),"",'Phase CEMS PM Concentrations'!B13)</f>
        <v>BK Princess</v>
      </c>
      <c r="C13" s="20" t="str">
        <f>IF(ISBLANK('Phase CEMS PM Concentrations'!C13),"",'Phase CEMS PM Concentrations'!C13)</f>
        <v>Wet spruce</v>
      </c>
      <c r="D13" s="20" t="str">
        <f>IF(ISBLANK('Phase CEMS PM Concentrations'!D13),"",'Phase CEMS PM Concentrations'!D13)</f>
        <v>Startup</v>
      </c>
      <c r="E13" s="38">
        <v>44326.3903587963</v>
      </c>
      <c r="F13" s="38">
        <v>44326.391921296294</v>
      </c>
      <c r="G13" s="2">
        <v>2.8897099999999998E-2</v>
      </c>
      <c r="H13" s="2">
        <v>8.5294099999999994E-3</v>
      </c>
      <c r="I13" s="9">
        <v>21.151</v>
      </c>
      <c r="J13" s="25">
        <v>435.30500000000001</v>
      </c>
      <c r="K13" s="9">
        <v>-3.2850700000000002</v>
      </c>
      <c r="L13" s="9">
        <v>-0.67970600000000003</v>
      </c>
      <c r="M13" s="42">
        <v>2.6425700000000001</v>
      </c>
      <c r="N13" s="42">
        <v>1.76596</v>
      </c>
      <c r="O13" s="9">
        <v>3.6249999999999998E-2</v>
      </c>
      <c r="P13" s="9">
        <v>5.81618E-2</v>
      </c>
      <c r="Q13" s="25">
        <v>29.6235</v>
      </c>
      <c r="R13" s="9">
        <v>9.6865699999999999E-2</v>
      </c>
      <c r="S13" s="9">
        <v>0.143015</v>
      </c>
      <c r="T13" s="9">
        <v>0.175903</v>
      </c>
      <c r="U13" s="9">
        <v>0.19179099999999999</v>
      </c>
      <c r="V13" s="9">
        <v>0.19620099999999999</v>
      </c>
      <c r="W13" s="9">
        <v>0.18982099999999999</v>
      </c>
      <c r="X13" s="9">
        <v>0.203567</v>
      </c>
      <c r="Y13" s="9">
        <v>0.38474999999999998</v>
      </c>
      <c r="Z13" s="9">
        <v>-2.1448499999999999E-2</v>
      </c>
      <c r="AA13" s="9">
        <v>-1.23088E-2</v>
      </c>
      <c r="AB13" s="9">
        <v>4.2095599999999997E-2</v>
      </c>
      <c r="AC13" s="9">
        <v>0.28124300000000002</v>
      </c>
      <c r="AD13" s="9">
        <v>1.6920599999999999</v>
      </c>
      <c r="AE13" s="9">
        <v>-3.6686999999999999</v>
      </c>
      <c r="AF13" s="9"/>
      <c r="AG13" s="9">
        <v>6.3495400000000002</v>
      </c>
      <c r="AH13" s="9">
        <v>23.3247</v>
      </c>
      <c r="AI13" s="9"/>
      <c r="AJ13" s="27">
        <v>4027.98</v>
      </c>
      <c r="AK13" s="27">
        <v>3214.85</v>
      </c>
      <c r="AL13" s="9">
        <v>2.8189500000000001</v>
      </c>
      <c r="AM13" s="9">
        <v>3.7751399999999999</v>
      </c>
      <c r="AN13" s="9">
        <v>5.5301600000000004</v>
      </c>
      <c r="AO13" s="9">
        <v>9.5357599999999998</v>
      </c>
      <c r="AP13" s="9">
        <v>9.1582699999999999</v>
      </c>
      <c r="AQ13" s="9">
        <v>3.3231799999999998</v>
      </c>
      <c r="AR13" s="9">
        <v>1.89462</v>
      </c>
      <c r="AS13" s="9">
        <v>3.4118499999999998</v>
      </c>
      <c r="AT13" s="9">
        <v>4.3739299999999997</v>
      </c>
      <c r="AU13" s="9">
        <v>4.18072</v>
      </c>
      <c r="AV13" s="9">
        <v>4.2814500000000004</v>
      </c>
      <c r="AW13" s="9">
        <v>4.4276400000000002</v>
      </c>
      <c r="AX13" s="9">
        <v>5.0940000000000003</v>
      </c>
      <c r="AY13" s="9">
        <v>6.2040899999999999</v>
      </c>
      <c r="AZ13" s="9">
        <v>7.0034099999999997</v>
      </c>
      <c r="BA13" s="9">
        <v>7.3155200000000002</v>
      </c>
      <c r="BB13" s="9">
        <v>7.0850299999999997</v>
      </c>
      <c r="BC13" s="9">
        <v>6.3149199999999999</v>
      </c>
      <c r="BD13" s="9">
        <v>5.4794700000000001</v>
      </c>
      <c r="BE13" s="9">
        <v>4.5268499999999996</v>
      </c>
      <c r="BF13" s="9">
        <v>3.8565499999999999</v>
      </c>
      <c r="BG13" s="9">
        <v>3.4407700000000001</v>
      </c>
      <c r="BH13" s="9">
        <v>3.1233599999999999</v>
      </c>
      <c r="BI13" s="9">
        <v>2.8913600000000002</v>
      </c>
      <c r="BJ13" s="9">
        <v>2.4737900000000002</v>
      </c>
      <c r="BK13" s="9">
        <v>1.85114</v>
      </c>
      <c r="BL13" s="9">
        <v>1.3038700000000001</v>
      </c>
      <c r="BM13" s="9">
        <v>0.83143199999999995</v>
      </c>
      <c r="BN13" s="9">
        <v>0.51459999999999995</v>
      </c>
      <c r="BO13" s="9">
        <v>0.35369</v>
      </c>
      <c r="BP13" s="9">
        <v>0.24534900000000001</v>
      </c>
      <c r="BQ13" s="9">
        <v>0.18578500000000001</v>
      </c>
    </row>
    <row r="14" spans="1:70">
      <c r="A14" s="20">
        <f>IF(ISBLANK('Phase CEMS PM Concentrations'!A14),"",'Phase CEMS PM Concentrations'!A14)</f>
        <v>44326</v>
      </c>
      <c r="B14" s="20" t="str">
        <f>IF(ISBLANK('Phase CEMS PM Concentrations'!B14),"",'Phase CEMS PM Concentrations'!B14)</f>
        <v>BK Princess</v>
      </c>
      <c r="C14" s="20" t="str">
        <f>IF(ISBLANK('Phase CEMS PM Concentrations'!C14),"",'Phase CEMS PM Concentrations'!C14)</f>
        <v>Wet spruce</v>
      </c>
      <c r="D14" s="20" t="str">
        <f>IF(ISBLANK('Phase CEMS PM Concentrations'!D14),"",'Phase CEMS PM Concentrations'!D14)</f>
        <v>High</v>
      </c>
      <c r="E14" s="38">
        <v>44326.3903587963</v>
      </c>
      <c r="F14" s="38">
        <v>44326.391921296294</v>
      </c>
      <c r="G14" s="2">
        <v>2.8897099999999998E-2</v>
      </c>
      <c r="H14" s="2">
        <v>8.5294099999999994E-3</v>
      </c>
      <c r="I14" s="9">
        <v>21.151</v>
      </c>
      <c r="J14" s="25">
        <v>435.30500000000001</v>
      </c>
      <c r="K14" s="9">
        <v>-3.2850700000000002</v>
      </c>
      <c r="L14" s="9">
        <v>-0.67970600000000003</v>
      </c>
      <c r="M14" s="42">
        <v>2.6425700000000001</v>
      </c>
      <c r="N14" s="42">
        <v>1.76596</v>
      </c>
      <c r="O14" s="9">
        <v>3.6249999999999998E-2</v>
      </c>
      <c r="P14" s="9">
        <v>5.81618E-2</v>
      </c>
      <c r="Q14" s="25">
        <v>29.6235</v>
      </c>
      <c r="R14" s="9">
        <v>9.6865699999999999E-2</v>
      </c>
      <c r="S14" s="9">
        <v>0.143015</v>
      </c>
      <c r="T14" s="9">
        <v>0.175903</v>
      </c>
      <c r="U14" s="9">
        <v>0.19179099999999999</v>
      </c>
      <c r="V14" s="9">
        <v>0.19620099999999999</v>
      </c>
      <c r="W14" s="9">
        <v>0.18982099999999999</v>
      </c>
      <c r="X14" s="9">
        <v>0.203567</v>
      </c>
      <c r="Y14" s="9">
        <v>0.38474999999999998</v>
      </c>
      <c r="Z14" s="9">
        <v>-2.1448499999999999E-2</v>
      </c>
      <c r="AA14" s="9">
        <v>-1.23088E-2</v>
      </c>
      <c r="AB14" s="9">
        <v>4.2095599999999997E-2</v>
      </c>
      <c r="AC14" s="9">
        <v>0.28124300000000002</v>
      </c>
      <c r="AD14" s="9">
        <v>1.6920599999999999</v>
      </c>
      <c r="AE14" s="9">
        <v>-3.6686999999999999</v>
      </c>
      <c r="AF14" s="9"/>
      <c r="AG14" s="9">
        <v>6.3495400000000002</v>
      </c>
      <c r="AH14" s="9">
        <v>23.3247</v>
      </c>
      <c r="AI14" s="9"/>
      <c r="AJ14" s="27">
        <v>4027.98</v>
      </c>
      <c r="AK14" s="27">
        <v>3214.85</v>
      </c>
      <c r="AL14" s="9">
        <v>2.8189500000000001</v>
      </c>
      <c r="AM14" s="9">
        <v>3.7751399999999999</v>
      </c>
      <c r="AN14" s="9">
        <v>5.5301600000000004</v>
      </c>
      <c r="AO14" s="9">
        <v>9.5357599999999998</v>
      </c>
      <c r="AP14" s="9">
        <v>9.1582699999999999</v>
      </c>
      <c r="AQ14" s="9">
        <v>3.3231799999999998</v>
      </c>
      <c r="AR14" s="9">
        <v>1.89462</v>
      </c>
      <c r="AS14" s="9">
        <v>3.4118499999999998</v>
      </c>
      <c r="AT14" s="9">
        <v>4.3739299999999997</v>
      </c>
      <c r="AU14" s="9">
        <v>4.18072</v>
      </c>
      <c r="AV14" s="9">
        <v>4.2814500000000004</v>
      </c>
      <c r="AW14" s="9">
        <v>4.4276400000000002</v>
      </c>
      <c r="AX14" s="9">
        <v>5.0940000000000003</v>
      </c>
      <c r="AY14" s="9">
        <v>6.2040899999999999</v>
      </c>
      <c r="AZ14" s="9">
        <v>7.0034099999999997</v>
      </c>
      <c r="BA14" s="9">
        <v>7.3155200000000002</v>
      </c>
      <c r="BB14" s="9">
        <v>7.0850299999999997</v>
      </c>
      <c r="BC14" s="9">
        <v>6.3149199999999999</v>
      </c>
      <c r="BD14" s="9">
        <v>5.4794700000000001</v>
      </c>
      <c r="BE14" s="9">
        <v>4.5268499999999996</v>
      </c>
      <c r="BF14" s="9">
        <v>3.8565499999999999</v>
      </c>
      <c r="BG14" s="9">
        <v>3.4407700000000001</v>
      </c>
      <c r="BH14" s="9">
        <v>3.1233599999999999</v>
      </c>
      <c r="BI14" s="9">
        <v>2.8913600000000002</v>
      </c>
      <c r="BJ14" s="9">
        <v>2.4737900000000002</v>
      </c>
      <c r="BK14" s="9">
        <v>1.85114</v>
      </c>
      <c r="BL14" s="9">
        <v>1.3038700000000001</v>
      </c>
      <c r="BM14" s="9">
        <v>0.83143199999999995</v>
      </c>
      <c r="BN14" s="9">
        <v>0.51459999999999995</v>
      </c>
      <c r="BO14" s="9">
        <v>0.35369</v>
      </c>
      <c r="BP14" s="9">
        <v>0.24534900000000001</v>
      </c>
      <c r="BQ14" s="9">
        <v>0.18578500000000001</v>
      </c>
    </row>
    <row r="15" spans="1:70">
      <c r="A15" s="20">
        <f>IF(ISBLANK('Phase CEMS PM Concentrations'!A15),"",'Phase CEMS PM Concentrations'!A15)</f>
        <v>44336</v>
      </c>
      <c r="B15" s="20" t="str">
        <f>IF(ISBLANK('Phase CEMS PM Concentrations'!B15),"",'Phase CEMS PM Concentrations'!B15)</f>
        <v>BK Princess</v>
      </c>
      <c r="C15" s="20" t="str">
        <f>IF(ISBLANK('Phase CEMS PM Concentrations'!C15),"",'Phase CEMS PM Concentrations'!C15)</f>
        <v>Wet birch</v>
      </c>
      <c r="D15" s="20" t="str">
        <f>IF(ISBLANK('Phase CEMS PM Concentrations'!D15),"",'Phase CEMS PM Concentrations'!D15)</f>
        <v>Startup</v>
      </c>
      <c r="E15" s="38">
        <v>44336.402754629627</v>
      </c>
      <c r="F15" s="38">
        <v>44336.403310185182</v>
      </c>
      <c r="G15" s="2">
        <v>4.08163E-2</v>
      </c>
      <c r="H15" s="2">
        <v>-0.01</v>
      </c>
      <c r="I15" s="9">
        <v>21.052900000000001</v>
      </c>
      <c r="J15" s="25">
        <v>402.26900000000001</v>
      </c>
      <c r="K15" s="9">
        <v>-10.240399999999999</v>
      </c>
      <c r="L15" s="9">
        <v>-0.31755100000000003</v>
      </c>
      <c r="M15" s="9">
        <v>2.03939</v>
      </c>
      <c r="N15" s="9">
        <v>1.84918</v>
      </c>
      <c r="O15" s="9">
        <v>4.7346899999999997E-2</v>
      </c>
      <c r="P15" s="9">
        <v>6.5510200000000005E-2</v>
      </c>
      <c r="Q15" s="25">
        <v>28.4712</v>
      </c>
      <c r="R15" s="9">
        <v>-2.7063799999999999E-2</v>
      </c>
      <c r="S15" s="9">
        <v>-5.4829799999999998E-2</v>
      </c>
      <c r="T15" s="9">
        <v>5.5851100000000001E-2</v>
      </c>
      <c r="U15" s="9">
        <v>8.7765999999999997E-2</v>
      </c>
      <c r="V15" s="9">
        <v>-3.2340399999999998E-2</v>
      </c>
      <c r="W15" s="9">
        <v>1.7233999999999999E-3</v>
      </c>
      <c r="X15" s="9">
        <v>0.10542600000000001</v>
      </c>
      <c r="Y15" s="9">
        <v>0.38726500000000003</v>
      </c>
      <c r="Z15" s="9">
        <v>-0.203796</v>
      </c>
      <c r="AA15" s="9">
        <v>1.8102E-2</v>
      </c>
      <c r="AB15" s="9">
        <v>-0.39953100000000003</v>
      </c>
      <c r="AC15" s="9">
        <v>5.0367299999999997E-2</v>
      </c>
      <c r="AD15" s="9">
        <v>1.67828</v>
      </c>
      <c r="AE15" s="9">
        <v>-0.66914200000000001</v>
      </c>
      <c r="AF15" s="9">
        <v>-3.4894799999999999</v>
      </c>
      <c r="AG15" s="9">
        <v>1.70505</v>
      </c>
      <c r="AH15" s="9">
        <v>0.900057</v>
      </c>
      <c r="AI15" s="9">
        <v>0.64225399999999999</v>
      </c>
      <c r="AJ15" s="27">
        <v>1342.9</v>
      </c>
      <c r="AK15" s="27">
        <v>1268.54</v>
      </c>
      <c r="AL15" s="9">
        <v>0.46533799999999997</v>
      </c>
      <c r="AM15" s="9">
        <v>0.52038700000000004</v>
      </c>
      <c r="AN15" s="9">
        <v>1.75458</v>
      </c>
      <c r="AO15" s="9">
        <v>6.0147500000000003</v>
      </c>
      <c r="AP15" s="9">
        <v>6.3305999999999996</v>
      </c>
      <c r="AQ15" s="9">
        <v>2.9814099999999999</v>
      </c>
      <c r="AR15" s="9">
        <v>3.0874700000000002</v>
      </c>
      <c r="AS15" s="9">
        <v>3.3262399999999999</v>
      </c>
      <c r="AT15" s="9">
        <v>2.9308100000000001</v>
      </c>
      <c r="AU15" s="9">
        <v>1.8495699999999999</v>
      </c>
      <c r="AV15" s="9">
        <v>1.7927500000000001</v>
      </c>
      <c r="AW15" s="9">
        <v>2.0530499999999998</v>
      </c>
      <c r="AX15" s="9">
        <v>2.0257399999999999</v>
      </c>
      <c r="AY15" s="9">
        <v>1.5305200000000001</v>
      </c>
      <c r="AZ15" s="9">
        <v>1.1997800000000001</v>
      </c>
      <c r="BA15" s="9">
        <v>0.85662899999999997</v>
      </c>
      <c r="BB15" s="9">
        <v>0.69472900000000004</v>
      </c>
      <c r="BC15" s="9">
        <v>0.57214799999999999</v>
      </c>
      <c r="BD15" s="9">
        <v>0.48125400000000002</v>
      </c>
      <c r="BE15" s="9">
        <v>0.37425399999999998</v>
      </c>
      <c r="BF15" s="9">
        <v>0.35851300000000003</v>
      </c>
      <c r="BG15" s="9">
        <v>0.38241999999999998</v>
      </c>
      <c r="BH15" s="9">
        <v>0.38088300000000003</v>
      </c>
      <c r="BI15" s="9">
        <v>0.31020599999999998</v>
      </c>
      <c r="BJ15" s="9">
        <v>0.24237600000000001</v>
      </c>
      <c r="BK15" s="9">
        <v>0.15314800000000001</v>
      </c>
      <c r="BL15" s="9">
        <v>9.6075400000000005E-2</v>
      </c>
      <c r="BM15" s="9">
        <v>4.3448300000000002E-2</v>
      </c>
      <c r="BN15" s="9">
        <v>1.9146300000000002E-2</v>
      </c>
      <c r="BO15" s="9">
        <v>7.2740699999999997E-3</v>
      </c>
      <c r="BP15" s="9">
        <v>2.7396500000000002E-3</v>
      </c>
      <c r="BQ15" s="9">
        <v>1.5283E-3</v>
      </c>
    </row>
    <row r="16" spans="1:70">
      <c r="A16" s="20">
        <f>IF(ISBLANK('Phase CEMS PM Concentrations'!A16),"",'Phase CEMS PM Concentrations'!A16)</f>
        <v>44336</v>
      </c>
      <c r="B16" s="20" t="str">
        <f>IF(ISBLANK('Phase CEMS PM Concentrations'!B16),"",'Phase CEMS PM Concentrations'!B16)</f>
        <v>BK Princess</v>
      </c>
      <c r="C16" s="20" t="str">
        <f>IF(ISBLANK('Phase CEMS PM Concentrations'!C16),"",'Phase CEMS PM Concentrations'!C16)</f>
        <v>Wet birch</v>
      </c>
      <c r="D16" s="20" t="str">
        <f>IF(ISBLANK('Phase CEMS PM Concentrations'!D16),"",'Phase CEMS PM Concentrations'!D16)</f>
        <v>High</v>
      </c>
      <c r="E16" s="38">
        <v>44336.402754629627</v>
      </c>
      <c r="F16" s="38">
        <v>44336.403310185182</v>
      </c>
      <c r="G16" s="2">
        <v>4.08163E-2</v>
      </c>
      <c r="H16" s="2">
        <v>-0.01</v>
      </c>
      <c r="I16" s="9">
        <v>21.052900000000001</v>
      </c>
      <c r="J16" s="25">
        <v>402.26900000000001</v>
      </c>
      <c r="K16" s="9">
        <v>-10.240399999999999</v>
      </c>
      <c r="L16" s="9">
        <v>-0.31755100000000003</v>
      </c>
      <c r="M16" s="9">
        <v>2.03939</v>
      </c>
      <c r="N16" s="9">
        <v>1.84918</v>
      </c>
      <c r="O16" s="9">
        <v>4.7346899999999997E-2</v>
      </c>
      <c r="P16" s="9">
        <v>6.5510200000000005E-2</v>
      </c>
      <c r="Q16" s="25">
        <v>28.4712</v>
      </c>
      <c r="R16" s="9">
        <v>-2.7063799999999999E-2</v>
      </c>
      <c r="S16" s="9">
        <v>-5.4829799999999998E-2</v>
      </c>
      <c r="T16" s="9">
        <v>5.5851100000000001E-2</v>
      </c>
      <c r="U16" s="9">
        <v>8.7765999999999997E-2</v>
      </c>
      <c r="V16" s="9">
        <v>-3.2340399999999998E-2</v>
      </c>
      <c r="W16" s="9">
        <v>1.7233999999999999E-3</v>
      </c>
      <c r="X16" s="9">
        <v>0.10542600000000001</v>
      </c>
      <c r="Y16" s="9">
        <v>0.38726500000000003</v>
      </c>
      <c r="Z16" s="9">
        <v>-0.203796</v>
      </c>
      <c r="AA16" s="9">
        <v>1.8102E-2</v>
      </c>
      <c r="AB16" s="9">
        <v>-0.39953100000000003</v>
      </c>
      <c r="AC16" s="9">
        <v>5.0367299999999997E-2</v>
      </c>
      <c r="AD16" s="9">
        <v>1.67828</v>
      </c>
      <c r="AE16" s="9">
        <v>-0.66914200000000001</v>
      </c>
      <c r="AF16" s="9">
        <v>-3.4894799999999999</v>
      </c>
      <c r="AG16" s="9">
        <v>1.70505</v>
      </c>
      <c r="AH16" s="9">
        <v>0.900057</v>
      </c>
      <c r="AI16" s="9">
        <v>0.64225399999999999</v>
      </c>
      <c r="AJ16" s="27">
        <v>1342.9</v>
      </c>
      <c r="AK16" s="27">
        <v>1268.54</v>
      </c>
      <c r="AL16" s="9">
        <v>0.46533799999999997</v>
      </c>
      <c r="AM16" s="9">
        <v>0.52038700000000004</v>
      </c>
      <c r="AN16" s="9">
        <v>1.75458</v>
      </c>
      <c r="AO16" s="9">
        <v>6.0147500000000003</v>
      </c>
      <c r="AP16" s="9">
        <v>6.3305999999999996</v>
      </c>
      <c r="AQ16" s="9">
        <v>2.9814099999999999</v>
      </c>
      <c r="AR16" s="9">
        <v>3.0874700000000002</v>
      </c>
      <c r="AS16" s="9">
        <v>3.3262399999999999</v>
      </c>
      <c r="AT16" s="9">
        <v>2.9308100000000001</v>
      </c>
      <c r="AU16" s="9">
        <v>1.8495699999999999</v>
      </c>
      <c r="AV16" s="9">
        <v>1.7927500000000001</v>
      </c>
      <c r="AW16" s="9">
        <v>2.0530499999999998</v>
      </c>
      <c r="AX16" s="9">
        <v>2.0257399999999999</v>
      </c>
      <c r="AY16" s="9">
        <v>1.5305200000000001</v>
      </c>
      <c r="AZ16" s="9">
        <v>1.1997800000000001</v>
      </c>
      <c r="BA16" s="9">
        <v>0.85662899999999997</v>
      </c>
      <c r="BB16" s="9">
        <v>0.69472900000000004</v>
      </c>
      <c r="BC16" s="9">
        <v>0.57214799999999999</v>
      </c>
      <c r="BD16" s="9">
        <v>0.48125400000000002</v>
      </c>
      <c r="BE16" s="9">
        <v>0.37425399999999998</v>
      </c>
      <c r="BF16" s="9">
        <v>0.35851300000000003</v>
      </c>
      <c r="BG16" s="9">
        <v>0.38241999999999998</v>
      </c>
      <c r="BH16" s="9">
        <v>0.38088300000000003</v>
      </c>
      <c r="BI16" s="9">
        <v>0.31020599999999998</v>
      </c>
      <c r="BJ16" s="9">
        <v>0.24237600000000001</v>
      </c>
      <c r="BK16" s="9">
        <v>0.15314800000000001</v>
      </c>
      <c r="BL16" s="9">
        <v>9.6075400000000005E-2</v>
      </c>
      <c r="BM16" s="9">
        <v>4.3448300000000002E-2</v>
      </c>
      <c r="BN16" s="9">
        <v>1.9146300000000002E-2</v>
      </c>
      <c r="BO16" s="9">
        <v>7.2740699999999997E-3</v>
      </c>
      <c r="BP16" s="9">
        <v>2.7396500000000002E-3</v>
      </c>
      <c r="BQ16" s="9">
        <v>1.5283E-3</v>
      </c>
    </row>
    <row r="17" spans="1:69">
      <c r="A17" s="20">
        <f>IF(ISBLANK('Phase CEMS PM Concentrations'!A17),"",'Phase CEMS PM Concentrations'!A17)</f>
        <v>44341</v>
      </c>
      <c r="B17" s="20" t="str">
        <f>IF(ISBLANK('Phase CEMS PM Concentrations'!B17),"",'Phase CEMS PM Concentrations'!B17)</f>
        <v>BK Princess</v>
      </c>
      <c r="C17" s="20" t="str">
        <f>IF(ISBLANK('Phase CEMS PM Concentrations'!C17),"",'Phase CEMS PM Concentrations'!C17)</f>
        <v>Wet birch</v>
      </c>
      <c r="D17" s="20" t="str">
        <f>IF(ISBLANK('Phase CEMS PM Concentrations'!D17),"",'Phase CEMS PM Concentrations'!D17)</f>
        <v>Startup</v>
      </c>
      <c r="E17" s="38">
        <v>44341.359837962962</v>
      </c>
      <c r="F17" s="38">
        <v>44341.361342592594</v>
      </c>
      <c r="G17" s="2">
        <v>4.3435099999999997E-2</v>
      </c>
      <c r="H17" s="2">
        <v>0.01</v>
      </c>
      <c r="I17" s="9">
        <v>20.924299999999999</v>
      </c>
      <c r="J17" s="25">
        <v>446.38900000000001</v>
      </c>
      <c r="K17" s="9">
        <v>-3.6255700000000002</v>
      </c>
      <c r="L17" s="9">
        <v>-0.302672</v>
      </c>
      <c r="M17" s="9">
        <v>2.1712199999999999</v>
      </c>
      <c r="N17" s="9">
        <v>1.76176</v>
      </c>
      <c r="O17" s="9">
        <v>1.60305E-2</v>
      </c>
      <c r="P17" s="9">
        <v>2.9465600000000002E-2</v>
      </c>
      <c r="Q17" s="25">
        <v>41.715600000000002</v>
      </c>
      <c r="R17" s="9">
        <v>3.1550399999999999E-2</v>
      </c>
      <c r="S17" s="9">
        <v>1.47364E-2</v>
      </c>
      <c r="T17" s="9">
        <v>-6.5814000000000003E-3</v>
      </c>
      <c r="U17" s="9">
        <v>-1.29225E-2</v>
      </c>
      <c r="V17" s="9">
        <v>2.28837E-2</v>
      </c>
      <c r="W17" s="9">
        <v>1.69845E-2</v>
      </c>
      <c r="X17" s="9">
        <v>2.7596900000000001E-2</v>
      </c>
      <c r="Y17" s="9">
        <v>0.34698499999999999</v>
      </c>
      <c r="Z17" s="9">
        <v>-0.14122100000000001</v>
      </c>
      <c r="AA17" s="9">
        <v>-0.43245800000000001</v>
      </c>
      <c r="AB17" s="9">
        <v>-0.41380899999999998</v>
      </c>
      <c r="AC17" s="9">
        <v>0.27780899999999997</v>
      </c>
      <c r="AD17" s="9">
        <v>7.7316599999999998</v>
      </c>
      <c r="AE17" s="9">
        <v>-14.3985</v>
      </c>
      <c r="AF17" s="9">
        <v>242.673</v>
      </c>
      <c r="AG17" s="9">
        <v>1.9453</v>
      </c>
      <c r="AH17" s="9">
        <v>1.8422799999999999</v>
      </c>
      <c r="AI17" s="9">
        <v>-0.42891200000000002</v>
      </c>
      <c r="AJ17" s="27">
        <v>1258.43</v>
      </c>
      <c r="AK17" s="27">
        <v>1166.72</v>
      </c>
      <c r="AL17" s="9">
        <v>2.7363900000000001</v>
      </c>
      <c r="AM17" s="9">
        <v>1.61469</v>
      </c>
      <c r="AN17" s="9">
        <v>1.96315</v>
      </c>
      <c r="AO17" s="9">
        <v>5.56555</v>
      </c>
      <c r="AP17" s="9">
        <v>5.99221</v>
      </c>
      <c r="AQ17" s="9">
        <v>2.9858199999999999</v>
      </c>
      <c r="AR17" s="9">
        <v>2.0271599999999999</v>
      </c>
      <c r="AS17" s="9">
        <v>1.18235</v>
      </c>
      <c r="AT17" s="9">
        <v>1.1563699999999999</v>
      </c>
      <c r="AU17" s="9">
        <v>1.79962</v>
      </c>
      <c r="AV17" s="9">
        <v>2.18065</v>
      </c>
      <c r="AW17" s="9">
        <v>1.80671</v>
      </c>
      <c r="AX17" s="9">
        <v>1.4804200000000001</v>
      </c>
      <c r="AY17" s="9">
        <v>0.89574299999999996</v>
      </c>
      <c r="AZ17" s="9">
        <v>0.62493399999999999</v>
      </c>
      <c r="BA17" s="9">
        <v>0.57271399999999995</v>
      </c>
      <c r="BB17" s="9">
        <v>0.65679200000000004</v>
      </c>
      <c r="BC17" s="9">
        <v>0.75898500000000002</v>
      </c>
      <c r="BD17" s="9">
        <v>0.74006700000000003</v>
      </c>
      <c r="BE17" s="9">
        <v>0.56265399999999999</v>
      </c>
      <c r="BF17" s="9">
        <v>0.46458700000000003</v>
      </c>
      <c r="BG17" s="9">
        <v>0.33984500000000001</v>
      </c>
      <c r="BH17" s="9">
        <v>0.27710299999999999</v>
      </c>
      <c r="BI17" s="9">
        <v>0.25485999999999998</v>
      </c>
      <c r="BJ17" s="9">
        <v>0.24388499999999999</v>
      </c>
      <c r="BK17" s="9">
        <v>0.20117299999999999</v>
      </c>
      <c r="BL17" s="9">
        <v>0.15869800000000001</v>
      </c>
      <c r="BM17" s="9">
        <v>0.109246</v>
      </c>
      <c r="BN17" s="9">
        <v>7.8608399999999995E-2</v>
      </c>
      <c r="BO17" s="9">
        <v>6.6909800000000005E-2</v>
      </c>
      <c r="BP17" s="9">
        <v>6.52335E-2</v>
      </c>
      <c r="BQ17" s="9">
        <v>6.5201200000000001E-2</v>
      </c>
    </row>
    <row r="18" spans="1:69">
      <c r="A18" s="20">
        <f>IF(ISBLANK('Phase CEMS PM Concentrations'!A18),"",'Phase CEMS PM Concentrations'!A18)</f>
        <v>44341</v>
      </c>
      <c r="B18" s="20" t="str">
        <f>IF(ISBLANK('Phase CEMS PM Concentrations'!B18),"",'Phase CEMS PM Concentrations'!B18)</f>
        <v>BK Princess</v>
      </c>
      <c r="C18" s="20" t="str">
        <f>IF(ISBLANK('Phase CEMS PM Concentrations'!C18),"",'Phase CEMS PM Concentrations'!C18)</f>
        <v>Wet birch</v>
      </c>
      <c r="D18" s="20" t="str">
        <f>IF(ISBLANK('Phase CEMS PM Concentrations'!D18),"",'Phase CEMS PM Concentrations'!D18)</f>
        <v>Low</v>
      </c>
      <c r="E18" s="38">
        <v>44341.359837962962</v>
      </c>
      <c r="F18" s="38">
        <v>44341.361342592594</v>
      </c>
      <c r="G18" s="2">
        <v>4.3435099999999997E-2</v>
      </c>
      <c r="H18" s="2">
        <v>0.01</v>
      </c>
      <c r="I18" s="9">
        <v>20.924299999999999</v>
      </c>
      <c r="J18" s="25">
        <v>446.38900000000001</v>
      </c>
      <c r="K18" s="9">
        <v>-3.6255700000000002</v>
      </c>
      <c r="L18" s="9">
        <v>-0.302672</v>
      </c>
      <c r="M18" s="9">
        <v>2.1712199999999999</v>
      </c>
      <c r="N18" s="9">
        <v>1.76176</v>
      </c>
      <c r="O18" s="9">
        <v>1.60305E-2</v>
      </c>
      <c r="P18" s="9">
        <v>2.9465600000000002E-2</v>
      </c>
      <c r="Q18" s="25">
        <v>41.715600000000002</v>
      </c>
      <c r="R18" s="9">
        <v>3.1550399999999999E-2</v>
      </c>
      <c r="S18" s="9">
        <v>1.47364E-2</v>
      </c>
      <c r="T18" s="9">
        <v>-6.5814000000000003E-3</v>
      </c>
      <c r="U18" s="9">
        <v>-1.29225E-2</v>
      </c>
      <c r="V18" s="9">
        <v>2.28837E-2</v>
      </c>
      <c r="W18" s="9">
        <v>1.69845E-2</v>
      </c>
      <c r="X18" s="9">
        <v>2.7596900000000001E-2</v>
      </c>
      <c r="Y18" s="9">
        <v>0.34698499999999999</v>
      </c>
      <c r="Z18" s="9">
        <v>-0.14122100000000001</v>
      </c>
      <c r="AA18" s="9">
        <v>-0.43245800000000001</v>
      </c>
      <c r="AB18" s="9">
        <v>-0.41380899999999998</v>
      </c>
      <c r="AC18" s="9">
        <v>0.27780899999999997</v>
      </c>
      <c r="AD18" s="9">
        <v>7.7316599999999998</v>
      </c>
      <c r="AE18" s="9">
        <v>-14.3985</v>
      </c>
      <c r="AF18" s="9">
        <v>242.673</v>
      </c>
      <c r="AG18" s="9">
        <v>1.9453</v>
      </c>
      <c r="AH18" s="9">
        <v>1.8422799999999999</v>
      </c>
      <c r="AI18" s="9">
        <v>-0.42891200000000002</v>
      </c>
      <c r="AJ18" s="27">
        <v>1258.43</v>
      </c>
      <c r="AK18" s="27">
        <v>1166.72</v>
      </c>
      <c r="AL18" s="9">
        <v>2.7363900000000001</v>
      </c>
      <c r="AM18" s="9">
        <v>1.61469</v>
      </c>
      <c r="AN18" s="9">
        <v>1.96315</v>
      </c>
      <c r="AO18" s="9">
        <v>5.56555</v>
      </c>
      <c r="AP18" s="9">
        <v>5.99221</v>
      </c>
      <c r="AQ18" s="9">
        <v>2.9858199999999999</v>
      </c>
      <c r="AR18" s="9">
        <v>2.0271599999999999</v>
      </c>
      <c r="AS18" s="9">
        <v>1.18235</v>
      </c>
      <c r="AT18" s="9">
        <v>1.1563699999999999</v>
      </c>
      <c r="AU18" s="9">
        <v>1.79962</v>
      </c>
      <c r="AV18" s="9">
        <v>2.18065</v>
      </c>
      <c r="AW18" s="9">
        <v>1.80671</v>
      </c>
      <c r="AX18" s="9">
        <v>1.4804200000000001</v>
      </c>
      <c r="AY18" s="9">
        <v>0.89574299999999996</v>
      </c>
      <c r="AZ18" s="9">
        <v>0.62493399999999999</v>
      </c>
      <c r="BA18" s="9">
        <v>0.57271399999999995</v>
      </c>
      <c r="BB18" s="9">
        <v>0.65679200000000004</v>
      </c>
      <c r="BC18" s="9">
        <v>0.75898500000000002</v>
      </c>
      <c r="BD18" s="9">
        <v>0.74006700000000003</v>
      </c>
      <c r="BE18" s="9">
        <v>0.56265399999999999</v>
      </c>
      <c r="BF18" s="9">
        <v>0.46458700000000003</v>
      </c>
      <c r="BG18" s="9">
        <v>0.33984500000000001</v>
      </c>
      <c r="BH18" s="9">
        <v>0.27710299999999999</v>
      </c>
      <c r="BI18" s="9">
        <v>0.25485999999999998</v>
      </c>
      <c r="BJ18" s="9">
        <v>0.24388499999999999</v>
      </c>
      <c r="BK18" s="9">
        <v>0.20117299999999999</v>
      </c>
      <c r="BL18" s="9">
        <v>0.15869800000000001</v>
      </c>
      <c r="BM18" s="9">
        <v>0.109246</v>
      </c>
      <c r="BN18" s="9">
        <v>7.8608399999999995E-2</v>
      </c>
      <c r="BO18" s="9">
        <v>6.6909800000000005E-2</v>
      </c>
      <c r="BP18" s="9">
        <v>6.52335E-2</v>
      </c>
      <c r="BQ18" s="9">
        <v>6.5201200000000001E-2</v>
      </c>
    </row>
    <row r="19" spans="1:69">
      <c r="A19" s="20">
        <f>IF(ISBLANK('Phase CEMS PM Concentrations'!A19),"",'Phase CEMS PM Concentrations'!A19)</f>
        <v>44342</v>
      </c>
      <c r="B19" s="20" t="str">
        <f>IF(ISBLANK('Phase CEMS PM Concentrations'!B19),"",'Phase CEMS PM Concentrations'!B19)</f>
        <v>BK Princess</v>
      </c>
      <c r="C19" s="20" t="str">
        <f>IF(ISBLANK('Phase CEMS PM Concentrations'!C19),"",'Phase CEMS PM Concentrations'!C19)</f>
        <v>Wet birch</v>
      </c>
      <c r="D19" s="20" t="str">
        <f>IF(ISBLANK('Phase CEMS PM Concentrations'!D19),"",'Phase CEMS PM Concentrations'!D19)</f>
        <v>Startup</v>
      </c>
      <c r="E19" s="38">
        <v>44342.383113425924</v>
      </c>
      <c r="F19" s="38">
        <v>44342.384988425925</v>
      </c>
      <c r="G19" s="2">
        <v>6.8773000000000001E-2</v>
      </c>
      <c r="H19" s="2">
        <v>-9.3865000000000007E-3</v>
      </c>
      <c r="I19" s="9">
        <v>20.985199999999999</v>
      </c>
      <c r="J19" s="25">
        <v>443.17700000000002</v>
      </c>
      <c r="K19" s="9">
        <v>-12.1136</v>
      </c>
      <c r="L19" s="9">
        <v>-0.124417</v>
      </c>
      <c r="M19" s="44">
        <v>2.1678500000000001</v>
      </c>
      <c r="N19" s="44">
        <v>1.78712</v>
      </c>
      <c r="O19" s="44">
        <v>2.53374E-2</v>
      </c>
      <c r="P19" s="44">
        <v>4.15337E-2</v>
      </c>
      <c r="Q19" s="66">
        <v>40.767699999999998</v>
      </c>
      <c r="R19" s="9">
        <v>3.2668700000000002E-2</v>
      </c>
      <c r="S19" s="9">
        <v>8.8472400000000007E-2</v>
      </c>
      <c r="T19" s="9">
        <v>0.102067</v>
      </c>
      <c r="U19" s="9">
        <v>6.9220900000000002E-2</v>
      </c>
      <c r="V19" s="9">
        <v>8.4355799999999998E-3</v>
      </c>
      <c r="W19" s="9">
        <v>-5.2208600000000001E-2</v>
      </c>
      <c r="X19" s="9">
        <v>-6.7067500000000002E-2</v>
      </c>
      <c r="Y19" s="9">
        <v>0.21266299999999999</v>
      </c>
      <c r="Z19" s="9">
        <v>-0.11785900000000001</v>
      </c>
      <c r="AA19" s="9">
        <v>-1.7631899999999999E-2</v>
      </c>
      <c r="AB19" s="9">
        <v>-3.5447899999999997E-2</v>
      </c>
      <c r="AC19" s="9">
        <v>0.113178</v>
      </c>
      <c r="AD19" s="9">
        <v>0.39965299999999998</v>
      </c>
      <c r="AE19" s="9">
        <v>-0.76821499999999998</v>
      </c>
      <c r="AF19" s="9">
        <v>-2.1266099999999999</v>
      </c>
      <c r="AG19" s="9">
        <v>1.09355</v>
      </c>
      <c r="AH19" s="9">
        <v>0.97575199999999995</v>
      </c>
      <c r="AI19" s="9">
        <v>2.3294899999999998</v>
      </c>
      <c r="AJ19" s="27">
        <v>1102.83</v>
      </c>
      <c r="AK19" s="27">
        <v>1027.1400000000001</v>
      </c>
      <c r="AL19" s="9">
        <v>2.4365199999999998</v>
      </c>
      <c r="AM19" s="9">
        <v>1.8334999999999999</v>
      </c>
      <c r="AN19" s="9">
        <v>2.1165699999999998</v>
      </c>
      <c r="AO19" s="9">
        <v>5.1253900000000003</v>
      </c>
      <c r="AP19" s="9">
        <v>5.2176</v>
      </c>
      <c r="AQ19" s="9">
        <v>2.2812999999999999</v>
      </c>
      <c r="AR19" s="9">
        <v>1.43018</v>
      </c>
      <c r="AS19" s="9">
        <v>1.3100700000000001</v>
      </c>
      <c r="AT19" s="9">
        <v>1.4501299999999999</v>
      </c>
      <c r="AU19" s="9">
        <v>1.4539800000000001</v>
      </c>
      <c r="AV19" s="9">
        <v>1.39849</v>
      </c>
      <c r="AW19" s="9">
        <v>1.05166</v>
      </c>
      <c r="AX19" s="9">
        <v>0.92428999999999994</v>
      </c>
      <c r="AY19" s="9">
        <v>0.72653699999999999</v>
      </c>
      <c r="AZ19" s="9">
        <v>0.65042900000000003</v>
      </c>
      <c r="BA19" s="9">
        <v>0.70812399999999998</v>
      </c>
      <c r="BB19" s="9">
        <v>0.82063699999999995</v>
      </c>
      <c r="BC19" s="9">
        <v>0.73437699999999995</v>
      </c>
      <c r="BD19" s="9">
        <v>0.62648599999999999</v>
      </c>
      <c r="BE19" s="9">
        <v>0.44373800000000002</v>
      </c>
      <c r="BF19" s="9">
        <v>0.366149</v>
      </c>
      <c r="BG19" s="9">
        <v>0.32485000000000003</v>
      </c>
      <c r="BH19" s="9">
        <v>0.29272999999999999</v>
      </c>
      <c r="BI19" s="9">
        <v>0.25</v>
      </c>
      <c r="BJ19" s="9">
        <v>0.211368</v>
      </c>
      <c r="BK19" s="9">
        <v>0.15202099999999999</v>
      </c>
      <c r="BL19" s="9">
        <v>0.11118500000000001</v>
      </c>
      <c r="BM19" s="9">
        <v>7.3053900000000005E-2</v>
      </c>
      <c r="BN19" s="9">
        <v>4.9774699999999998E-2</v>
      </c>
      <c r="BO19" s="9">
        <v>3.6906000000000001E-2</v>
      </c>
      <c r="BP19" s="9">
        <v>3.4041500000000002E-2</v>
      </c>
      <c r="BQ19" s="9">
        <v>3.4250700000000002E-2</v>
      </c>
    </row>
    <row r="20" spans="1:69">
      <c r="A20" s="20">
        <f>IF(ISBLANK('Phase CEMS PM Concentrations'!A20),"",'Phase CEMS PM Concentrations'!A20)</f>
        <v>44342</v>
      </c>
      <c r="B20" s="20" t="str">
        <f>IF(ISBLANK('Phase CEMS PM Concentrations'!B20),"",'Phase CEMS PM Concentrations'!B20)</f>
        <v>BK Princess</v>
      </c>
      <c r="C20" s="20" t="str">
        <f>IF(ISBLANK('Phase CEMS PM Concentrations'!C20),"",'Phase CEMS PM Concentrations'!C20)</f>
        <v>Wet birch</v>
      </c>
      <c r="D20" s="20" t="str">
        <f>IF(ISBLANK('Phase CEMS PM Concentrations'!D20),"",'Phase CEMS PM Concentrations'!D20)</f>
        <v>Low</v>
      </c>
      <c r="E20" s="38">
        <v>44342.383113425924</v>
      </c>
      <c r="F20" s="38">
        <v>44342.384988425925</v>
      </c>
      <c r="G20" s="2">
        <v>6.8773000000000001E-2</v>
      </c>
      <c r="H20" s="2">
        <v>-9.3865000000000007E-3</v>
      </c>
      <c r="I20" s="9">
        <v>20.985199999999999</v>
      </c>
      <c r="J20" s="25">
        <v>443.17700000000002</v>
      </c>
      <c r="K20" s="9">
        <v>-12.1136</v>
      </c>
      <c r="L20" s="9">
        <v>-0.124417</v>
      </c>
      <c r="M20" s="44">
        <v>2.1678500000000001</v>
      </c>
      <c r="N20" s="44">
        <v>1.78712</v>
      </c>
      <c r="O20" s="44">
        <v>2.53374E-2</v>
      </c>
      <c r="P20" s="44">
        <v>4.15337E-2</v>
      </c>
      <c r="Q20" s="66">
        <v>40.767699999999998</v>
      </c>
      <c r="R20" s="9">
        <v>3.2668700000000002E-2</v>
      </c>
      <c r="S20" s="9">
        <v>8.8472400000000007E-2</v>
      </c>
      <c r="T20" s="9">
        <v>0.102067</v>
      </c>
      <c r="U20" s="9">
        <v>6.9220900000000002E-2</v>
      </c>
      <c r="V20" s="9">
        <v>8.4355799999999998E-3</v>
      </c>
      <c r="W20" s="9">
        <v>-5.2208600000000001E-2</v>
      </c>
      <c r="X20" s="9">
        <v>-6.7067500000000002E-2</v>
      </c>
      <c r="Y20" s="9">
        <v>0.21266299999999999</v>
      </c>
      <c r="Z20" s="9">
        <v>-0.11785900000000001</v>
      </c>
      <c r="AA20" s="9">
        <v>-1.7631899999999999E-2</v>
      </c>
      <c r="AB20" s="9">
        <v>-3.5447899999999997E-2</v>
      </c>
      <c r="AC20" s="9">
        <v>0.113178</v>
      </c>
      <c r="AD20" s="9">
        <v>0.39965299999999998</v>
      </c>
      <c r="AE20" s="9">
        <v>-0.76821499999999998</v>
      </c>
      <c r="AF20" s="9">
        <v>-2.1266099999999999</v>
      </c>
      <c r="AG20" s="9">
        <v>1.09355</v>
      </c>
      <c r="AH20" s="9">
        <v>0.97575199999999995</v>
      </c>
      <c r="AI20" s="9">
        <v>2.3294899999999998</v>
      </c>
      <c r="AJ20" s="27">
        <v>1102.83</v>
      </c>
      <c r="AK20" s="27">
        <v>1027.1400000000001</v>
      </c>
      <c r="AL20" s="9">
        <v>2.4365199999999998</v>
      </c>
      <c r="AM20" s="9">
        <v>1.8334999999999999</v>
      </c>
      <c r="AN20" s="9">
        <v>2.1165699999999998</v>
      </c>
      <c r="AO20" s="9">
        <v>5.1253900000000003</v>
      </c>
      <c r="AP20" s="9">
        <v>5.2176</v>
      </c>
      <c r="AQ20" s="9">
        <v>2.2812999999999999</v>
      </c>
      <c r="AR20" s="9">
        <v>1.43018</v>
      </c>
      <c r="AS20" s="9">
        <v>1.3100700000000001</v>
      </c>
      <c r="AT20" s="9">
        <v>1.4501299999999999</v>
      </c>
      <c r="AU20" s="9">
        <v>1.4539800000000001</v>
      </c>
      <c r="AV20" s="9">
        <v>1.39849</v>
      </c>
      <c r="AW20" s="9">
        <v>1.05166</v>
      </c>
      <c r="AX20" s="9">
        <v>0.92428999999999994</v>
      </c>
      <c r="AY20" s="9">
        <v>0.72653699999999999</v>
      </c>
      <c r="AZ20" s="9">
        <v>0.65042900000000003</v>
      </c>
      <c r="BA20" s="9">
        <v>0.70812399999999998</v>
      </c>
      <c r="BB20" s="9">
        <v>0.82063699999999995</v>
      </c>
      <c r="BC20" s="9">
        <v>0.73437699999999995</v>
      </c>
      <c r="BD20" s="9">
        <v>0.62648599999999999</v>
      </c>
      <c r="BE20" s="9">
        <v>0.44373800000000002</v>
      </c>
      <c r="BF20" s="9">
        <v>0.366149</v>
      </c>
      <c r="BG20" s="9">
        <v>0.32485000000000003</v>
      </c>
      <c r="BH20" s="9">
        <v>0.29272999999999999</v>
      </c>
      <c r="BI20" s="9">
        <v>0.25</v>
      </c>
      <c r="BJ20" s="9">
        <v>0.211368</v>
      </c>
      <c r="BK20" s="9">
        <v>0.15202099999999999</v>
      </c>
      <c r="BL20" s="9">
        <v>0.11118500000000001</v>
      </c>
      <c r="BM20" s="9">
        <v>7.3053900000000005E-2</v>
      </c>
      <c r="BN20" s="9">
        <v>4.9774699999999998E-2</v>
      </c>
      <c r="BO20" s="9">
        <v>3.6906000000000001E-2</v>
      </c>
      <c r="BP20" s="9">
        <v>3.4041500000000002E-2</v>
      </c>
      <c r="BQ20" s="9">
        <v>3.4250700000000002E-2</v>
      </c>
    </row>
    <row r="21" spans="1:69">
      <c r="A21" s="20">
        <f>IF(ISBLANK('Phase CEMS PM Concentrations'!A21),"",'Phase CEMS PM Concentrations'!A21)</f>
        <v>44343</v>
      </c>
      <c r="B21" s="20" t="str">
        <f>IF(ISBLANK('Phase CEMS PM Concentrations'!B21),"",'Phase CEMS PM Concentrations'!B21)</f>
        <v>BK Princess</v>
      </c>
      <c r="C21" s="20" t="str">
        <f>IF(ISBLANK('Phase CEMS PM Concentrations'!C21),"",'Phase CEMS PM Concentrations'!C21)</f>
        <v>Wet birch</v>
      </c>
      <c r="D21" s="20" t="str">
        <f>IF(ISBLANK('Phase CEMS PM Concentrations'!D21),"",'Phase CEMS PM Concentrations'!D21)</f>
        <v>Startup</v>
      </c>
      <c r="E21" s="38">
        <v>44343.365578703706</v>
      </c>
      <c r="F21" s="38">
        <v>44343.36681712963</v>
      </c>
      <c r="G21" s="2">
        <v>6.6759299999999994E-2</v>
      </c>
      <c r="H21" s="2">
        <v>-0.01</v>
      </c>
      <c r="I21" s="9">
        <v>21.085999999999999</v>
      </c>
      <c r="J21" s="25">
        <v>411.464</v>
      </c>
      <c r="K21" s="9">
        <v>-3.3437999999999999</v>
      </c>
      <c r="L21" s="9">
        <v>0.25944400000000001</v>
      </c>
      <c r="M21" s="44">
        <v>2.2495400000000001</v>
      </c>
      <c r="N21" s="44">
        <v>1.86537</v>
      </c>
      <c r="O21" s="44">
        <v>4.2592600000000001E-2</v>
      </c>
      <c r="P21" s="44">
        <v>6.4074099999999995E-2</v>
      </c>
      <c r="Q21" s="66">
        <v>38.791899999999998</v>
      </c>
      <c r="R21" s="9">
        <v>5.5560699999999998E-2</v>
      </c>
      <c r="S21" s="9">
        <v>3.5766399999999997E-2</v>
      </c>
      <c r="T21" s="9">
        <v>-2.9280400000000002E-2</v>
      </c>
      <c r="U21" s="9">
        <v>1.32523E-2</v>
      </c>
      <c r="V21" s="9">
        <v>-9.1327099999999994E-2</v>
      </c>
      <c r="W21" s="9">
        <v>-0.10426199999999999</v>
      </c>
      <c r="X21" s="9">
        <v>-0.19567300000000001</v>
      </c>
      <c r="Y21" s="9">
        <v>0.88347200000000004</v>
      </c>
      <c r="Z21" s="9">
        <v>-0.50710200000000005</v>
      </c>
      <c r="AA21" s="9">
        <v>-0.26120399999999999</v>
      </c>
      <c r="AB21" s="9">
        <v>-4.6861100000000003E-2</v>
      </c>
      <c r="AC21" s="9">
        <v>-5.0953699999999998E-2</v>
      </c>
      <c r="AD21" s="9">
        <v>1.1185099999999999</v>
      </c>
      <c r="AE21" s="9">
        <v>-7.6951799999999997</v>
      </c>
      <c r="AF21" s="9">
        <v>0.21956800000000001</v>
      </c>
      <c r="AG21" s="9">
        <v>1.59422</v>
      </c>
      <c r="AH21" s="9">
        <v>0.17174800000000001</v>
      </c>
      <c r="AI21" s="9">
        <v>0.24166799999999999</v>
      </c>
      <c r="AJ21" s="27">
        <v>1750.94</v>
      </c>
      <c r="AK21" s="27">
        <v>1673.15</v>
      </c>
      <c r="AL21" s="9">
        <v>2.6705700000000001</v>
      </c>
      <c r="AM21" s="9">
        <v>2.5849600000000001</v>
      </c>
      <c r="AN21" s="9">
        <v>4.64968</v>
      </c>
      <c r="AO21" s="9">
        <v>10.653</v>
      </c>
      <c r="AP21" s="9">
        <v>10.569800000000001</v>
      </c>
      <c r="AQ21" s="9">
        <v>3.8758900000000001</v>
      </c>
      <c r="AR21" s="9">
        <v>1.83483</v>
      </c>
      <c r="AS21" s="9">
        <v>2.4001899999999998</v>
      </c>
      <c r="AT21" s="9">
        <v>2.5219999999999998</v>
      </c>
      <c r="AU21" s="9">
        <v>2.0533399999999999</v>
      </c>
      <c r="AV21" s="9">
        <v>1.8492299999999999</v>
      </c>
      <c r="AW21" s="9">
        <v>1.50275</v>
      </c>
      <c r="AX21" s="9">
        <v>1.39408</v>
      </c>
      <c r="AY21" s="9">
        <v>1.14788</v>
      </c>
      <c r="AZ21" s="9">
        <v>0.94835000000000003</v>
      </c>
      <c r="BA21" s="9">
        <v>0.70302399999999998</v>
      </c>
      <c r="BB21" s="9">
        <v>0.560056</v>
      </c>
      <c r="BC21" s="9">
        <v>0.45760200000000001</v>
      </c>
      <c r="BD21" s="9">
        <v>0.39716299999999999</v>
      </c>
      <c r="BE21" s="9">
        <v>0.28964200000000001</v>
      </c>
      <c r="BF21" s="9">
        <v>0.299016</v>
      </c>
      <c r="BG21" s="9">
        <v>0.30236400000000002</v>
      </c>
      <c r="BH21" s="9">
        <v>0.32834400000000002</v>
      </c>
      <c r="BI21" s="9">
        <v>0.31445200000000001</v>
      </c>
      <c r="BJ21" s="9">
        <v>0.28680299999999997</v>
      </c>
      <c r="BK21" s="9">
        <v>0.20916000000000001</v>
      </c>
      <c r="BL21" s="9">
        <v>0.14916399999999999</v>
      </c>
      <c r="BM21" s="9">
        <v>9.4586500000000004E-2</v>
      </c>
      <c r="BN21" s="9">
        <v>5.9848499999999999E-2</v>
      </c>
      <c r="BO21" s="9">
        <v>4.3038300000000002E-2</v>
      </c>
      <c r="BP21" s="9">
        <v>3.90338E-2</v>
      </c>
      <c r="BQ21" s="9">
        <v>3.8212200000000002E-2</v>
      </c>
    </row>
    <row r="22" spans="1:69">
      <c r="A22" s="20">
        <f>IF(ISBLANK('Phase CEMS PM Concentrations'!A22),"",'Phase CEMS PM Concentrations'!A22)</f>
        <v>44343</v>
      </c>
      <c r="B22" s="20" t="str">
        <f>IF(ISBLANK('Phase CEMS PM Concentrations'!B22),"",'Phase CEMS PM Concentrations'!B22)</f>
        <v>BK Princess</v>
      </c>
      <c r="C22" s="20" t="str">
        <f>IF(ISBLANK('Phase CEMS PM Concentrations'!C22),"",'Phase CEMS PM Concentrations'!C22)</f>
        <v>Wet birch</v>
      </c>
      <c r="D22" s="20" t="str">
        <f>IF(ISBLANK('Phase CEMS PM Concentrations'!D22),"",'Phase CEMS PM Concentrations'!D22)</f>
        <v>Low</v>
      </c>
      <c r="E22" s="38">
        <v>44343.365578703706</v>
      </c>
      <c r="F22" s="38">
        <v>44343.36681712963</v>
      </c>
      <c r="G22" s="2">
        <v>6.6759299999999994E-2</v>
      </c>
      <c r="H22" s="2">
        <v>-0.01</v>
      </c>
      <c r="I22" s="9">
        <v>21.085999999999999</v>
      </c>
      <c r="J22" s="25">
        <v>411.464</v>
      </c>
      <c r="K22" s="9">
        <v>-3.3437999999999999</v>
      </c>
      <c r="L22" s="9">
        <v>0.25944400000000001</v>
      </c>
      <c r="M22" s="44">
        <v>2.2495400000000001</v>
      </c>
      <c r="N22" s="44">
        <v>1.86537</v>
      </c>
      <c r="O22" s="44">
        <v>4.2592600000000001E-2</v>
      </c>
      <c r="P22" s="44">
        <v>6.4074099999999995E-2</v>
      </c>
      <c r="Q22" s="66">
        <v>38.791899999999998</v>
      </c>
      <c r="R22" s="9">
        <v>5.5560699999999998E-2</v>
      </c>
      <c r="S22" s="9">
        <v>3.5766399999999997E-2</v>
      </c>
      <c r="T22" s="9">
        <v>-2.9280400000000002E-2</v>
      </c>
      <c r="U22" s="9">
        <v>1.32523E-2</v>
      </c>
      <c r="V22" s="9">
        <v>-9.1327099999999994E-2</v>
      </c>
      <c r="W22" s="9">
        <v>-0.10426199999999999</v>
      </c>
      <c r="X22" s="9">
        <v>-0.19567300000000001</v>
      </c>
      <c r="Y22" s="9">
        <v>0.88347200000000004</v>
      </c>
      <c r="Z22" s="9">
        <v>-0.50710200000000005</v>
      </c>
      <c r="AA22" s="9">
        <v>-0.26120399999999999</v>
      </c>
      <c r="AB22" s="9">
        <v>-4.6861100000000003E-2</v>
      </c>
      <c r="AC22" s="9">
        <v>-5.0953699999999998E-2</v>
      </c>
      <c r="AD22" s="9">
        <v>1.1185099999999999</v>
      </c>
      <c r="AE22" s="9">
        <v>-7.6951799999999997</v>
      </c>
      <c r="AF22" s="9">
        <v>0.21956800000000001</v>
      </c>
      <c r="AG22" s="9">
        <v>1.59422</v>
      </c>
      <c r="AH22" s="9">
        <v>0.17174800000000001</v>
      </c>
      <c r="AI22" s="9">
        <v>0.24166799999999999</v>
      </c>
      <c r="AJ22" s="27">
        <v>1750.94</v>
      </c>
      <c r="AK22" s="27">
        <v>1673.15</v>
      </c>
      <c r="AL22" s="9">
        <v>2.6705700000000001</v>
      </c>
      <c r="AM22" s="9">
        <v>2.5849600000000001</v>
      </c>
      <c r="AN22" s="9">
        <v>4.64968</v>
      </c>
      <c r="AO22" s="9">
        <v>10.653</v>
      </c>
      <c r="AP22" s="9">
        <v>10.569800000000001</v>
      </c>
      <c r="AQ22" s="9">
        <v>3.8758900000000001</v>
      </c>
      <c r="AR22" s="9">
        <v>1.83483</v>
      </c>
      <c r="AS22" s="9">
        <v>2.4001899999999998</v>
      </c>
      <c r="AT22" s="9">
        <v>2.5219999999999998</v>
      </c>
      <c r="AU22" s="9">
        <v>2.0533399999999999</v>
      </c>
      <c r="AV22" s="9">
        <v>1.8492299999999999</v>
      </c>
      <c r="AW22" s="9">
        <v>1.50275</v>
      </c>
      <c r="AX22" s="9">
        <v>1.39408</v>
      </c>
      <c r="AY22" s="9">
        <v>1.14788</v>
      </c>
      <c r="AZ22" s="9">
        <v>0.94835000000000003</v>
      </c>
      <c r="BA22" s="9">
        <v>0.70302399999999998</v>
      </c>
      <c r="BB22" s="9">
        <v>0.560056</v>
      </c>
      <c r="BC22" s="9">
        <v>0.45760200000000001</v>
      </c>
      <c r="BD22" s="9">
        <v>0.39716299999999999</v>
      </c>
      <c r="BE22" s="9">
        <v>0.28964200000000001</v>
      </c>
      <c r="BF22" s="9">
        <v>0.299016</v>
      </c>
      <c r="BG22" s="9">
        <v>0.30236400000000002</v>
      </c>
      <c r="BH22" s="9">
        <v>0.32834400000000002</v>
      </c>
      <c r="BI22" s="9">
        <v>0.31445200000000001</v>
      </c>
      <c r="BJ22" s="9">
        <v>0.28680299999999997</v>
      </c>
      <c r="BK22" s="9">
        <v>0.20916000000000001</v>
      </c>
      <c r="BL22" s="9">
        <v>0.14916399999999999</v>
      </c>
      <c r="BM22" s="9">
        <v>9.4586500000000004E-2</v>
      </c>
      <c r="BN22" s="9">
        <v>5.9848499999999999E-2</v>
      </c>
      <c r="BO22" s="9">
        <v>4.3038300000000002E-2</v>
      </c>
      <c r="BP22" s="9">
        <v>3.90338E-2</v>
      </c>
      <c r="BQ22" s="9">
        <v>3.8212200000000002E-2</v>
      </c>
    </row>
    <row r="23" spans="1:69">
      <c r="A23" s="20">
        <f>IF(ISBLANK('Phase CEMS PM Concentrations'!A23),"",'Phase CEMS PM Concentrations'!A23)</f>
        <v>44348</v>
      </c>
      <c r="B23" s="20" t="str">
        <f>IF(ISBLANK('Phase CEMS PM Concentrations'!B23),"",'Phase CEMS PM Concentrations'!B23)</f>
        <v>BK Princess</v>
      </c>
      <c r="C23" s="20" t="str">
        <f>IF(ISBLANK('Phase CEMS PM Concentrations'!C23),"",'Phase CEMS PM Concentrations'!C23)</f>
        <v>Wet birch</v>
      </c>
      <c r="D23" s="20" t="str">
        <f>IF(ISBLANK('Phase CEMS PM Concentrations'!D23),"",'Phase CEMS PM Concentrations'!D23)</f>
        <v>Startup</v>
      </c>
      <c r="E23" s="38">
        <v>44348.373622685183</v>
      </c>
      <c r="F23" s="38">
        <v>44348.374988425923</v>
      </c>
      <c r="G23" s="2">
        <v>6.7478999999999997E-2</v>
      </c>
      <c r="H23" s="2">
        <v>-0.01</v>
      </c>
      <c r="I23" s="9">
        <v>21.082999999999998</v>
      </c>
      <c r="J23" s="25">
        <v>447.36900000000003</v>
      </c>
      <c r="K23" s="9">
        <v>-8.1848700000000001</v>
      </c>
      <c r="L23" s="9">
        <v>0.53966400000000003</v>
      </c>
      <c r="M23" s="9">
        <v>2.7306699999999999</v>
      </c>
      <c r="N23" s="9">
        <v>1.9879</v>
      </c>
      <c r="O23" s="9">
        <v>3.17647E-2</v>
      </c>
      <c r="P23" s="9">
        <v>5.6386600000000002E-2</v>
      </c>
      <c r="Q23" s="25">
        <v>33.7378</v>
      </c>
      <c r="R23" s="9">
        <v>7.0666699999999999E-2</v>
      </c>
      <c r="S23" s="9">
        <v>2.9273500000000001E-2</v>
      </c>
      <c r="T23" s="9">
        <v>5.3230800000000002E-2</v>
      </c>
      <c r="U23" s="9">
        <v>0.11835900000000001</v>
      </c>
      <c r="V23" s="9">
        <v>6.0871799999999997E-2</v>
      </c>
      <c r="W23" s="9">
        <v>-3.8461499999999999E-4</v>
      </c>
      <c r="X23" s="9">
        <v>4.7794900000000001E-2</v>
      </c>
      <c r="Y23" s="9">
        <v>0.63594099999999998</v>
      </c>
      <c r="Z23" s="9">
        <v>-0.20837</v>
      </c>
      <c r="AA23" s="9">
        <v>-0.43274800000000002</v>
      </c>
      <c r="AB23" s="9">
        <v>-0.42838700000000002</v>
      </c>
      <c r="AC23" s="9">
        <v>8.1268900000000005E-2</v>
      </c>
      <c r="AD23" s="9">
        <v>1.9879500000000001</v>
      </c>
      <c r="AE23" s="9">
        <v>1.70777</v>
      </c>
      <c r="AF23" s="9">
        <v>-1.73386</v>
      </c>
      <c r="AG23" s="9">
        <v>0.73118099999999997</v>
      </c>
      <c r="AH23" s="9">
        <v>-0.220997</v>
      </c>
      <c r="AI23" s="9">
        <v>6.5007099999999998E-2</v>
      </c>
      <c r="AJ23" s="27">
        <v>1790.73</v>
      </c>
      <c r="AK23" s="27">
        <v>1767.52</v>
      </c>
      <c r="AL23" s="9">
        <v>2.44611</v>
      </c>
      <c r="AM23" s="9">
        <v>0.41648400000000002</v>
      </c>
      <c r="AN23" s="9">
        <v>2.0782400000000001</v>
      </c>
      <c r="AO23" s="9">
        <v>14.2597</v>
      </c>
      <c r="AP23" s="9">
        <v>17.110199999999999</v>
      </c>
      <c r="AQ23" s="9">
        <v>7.1109999999999998</v>
      </c>
      <c r="AR23" s="9">
        <v>2.2866900000000001</v>
      </c>
      <c r="AS23" s="9">
        <v>1.5304500000000001</v>
      </c>
      <c r="AT23" s="9">
        <v>1.24143</v>
      </c>
      <c r="AU23" s="9">
        <v>0.97134699999999996</v>
      </c>
      <c r="AV23" s="9">
        <v>0.95631500000000003</v>
      </c>
      <c r="AW23" s="9">
        <v>0.89720900000000003</v>
      </c>
      <c r="AX23" s="9">
        <v>1.0363199999999999</v>
      </c>
      <c r="AY23" s="9">
        <v>1.0187299999999999</v>
      </c>
      <c r="AZ23" s="9">
        <v>0.96494999999999997</v>
      </c>
      <c r="BA23" s="9">
        <v>0.67093599999999998</v>
      </c>
      <c r="BB23" s="9">
        <v>0.41994100000000001</v>
      </c>
      <c r="BC23" s="9">
        <v>0.17733599999999999</v>
      </c>
      <c r="BD23" s="9">
        <v>0.109849</v>
      </c>
      <c r="BE23" s="9">
        <v>4.3302599999999997E-2</v>
      </c>
      <c r="BF23" s="9">
        <v>6.6448599999999997E-2</v>
      </c>
      <c r="BG23" s="9">
        <v>9.9022499999999999E-2</v>
      </c>
      <c r="BH23" s="9">
        <v>0.117615</v>
      </c>
      <c r="BI23" s="9">
        <v>0.123319</v>
      </c>
      <c r="BJ23" s="9">
        <v>0.11700000000000001</v>
      </c>
      <c r="BK23" s="9">
        <v>7.17338E-2</v>
      </c>
      <c r="BL23" s="9">
        <v>4.6250399999999997E-2</v>
      </c>
      <c r="BM23" s="9">
        <v>2.5300199999999998E-2</v>
      </c>
      <c r="BN23" s="9">
        <v>1.1660200000000001E-2</v>
      </c>
      <c r="BO23" s="9">
        <v>4.9183500000000002E-3</v>
      </c>
      <c r="BP23" s="9">
        <v>3.2473599999999999E-3</v>
      </c>
      <c r="BQ23" s="9">
        <v>1.5202900000000001E-3</v>
      </c>
    </row>
    <row r="24" spans="1:69">
      <c r="A24" s="20">
        <f>IF(ISBLANK('Phase CEMS PM Concentrations'!A24),"",'Phase CEMS PM Concentrations'!A24)</f>
        <v>44348</v>
      </c>
      <c r="B24" s="20" t="str">
        <f>IF(ISBLANK('Phase CEMS PM Concentrations'!B24),"",'Phase CEMS PM Concentrations'!B24)</f>
        <v>BK Princess</v>
      </c>
      <c r="C24" s="20" t="str">
        <f>IF(ISBLANK('Phase CEMS PM Concentrations'!C24),"",'Phase CEMS PM Concentrations'!C24)</f>
        <v>Wet birch</v>
      </c>
      <c r="D24" s="20" t="str">
        <f>IF(ISBLANK('Phase CEMS PM Concentrations'!D24),"",'Phase CEMS PM Concentrations'!D24)</f>
        <v>High</v>
      </c>
      <c r="E24" s="38">
        <v>44348.373622685183</v>
      </c>
      <c r="F24" s="38">
        <v>44348.374988425923</v>
      </c>
      <c r="G24" s="2">
        <v>6.7478999999999997E-2</v>
      </c>
      <c r="H24" s="2">
        <v>-0.01</v>
      </c>
      <c r="I24" s="9">
        <v>21.082999999999998</v>
      </c>
      <c r="J24" s="25">
        <v>447.36900000000003</v>
      </c>
      <c r="K24" s="9">
        <v>-8.1848700000000001</v>
      </c>
      <c r="L24" s="9">
        <v>0.53966400000000003</v>
      </c>
      <c r="M24" s="9">
        <v>2.7306699999999999</v>
      </c>
      <c r="N24" s="9">
        <v>1.9879</v>
      </c>
      <c r="O24" s="9">
        <v>3.17647E-2</v>
      </c>
      <c r="P24" s="9">
        <v>5.6386600000000002E-2</v>
      </c>
      <c r="Q24" s="25">
        <v>33.7378</v>
      </c>
      <c r="R24" s="9">
        <v>7.0666699999999999E-2</v>
      </c>
      <c r="S24" s="9">
        <v>2.9273500000000001E-2</v>
      </c>
      <c r="T24" s="9">
        <v>5.3230800000000002E-2</v>
      </c>
      <c r="U24" s="9">
        <v>0.11835900000000001</v>
      </c>
      <c r="V24" s="9">
        <v>6.0871799999999997E-2</v>
      </c>
      <c r="W24" s="9">
        <v>-3.8461499999999999E-4</v>
      </c>
      <c r="X24" s="9">
        <v>4.7794900000000001E-2</v>
      </c>
      <c r="Y24" s="9">
        <v>0.63594099999999998</v>
      </c>
      <c r="Z24" s="9">
        <v>-0.20837</v>
      </c>
      <c r="AA24" s="9">
        <v>-0.43274800000000002</v>
      </c>
      <c r="AB24" s="9">
        <v>-0.42838700000000002</v>
      </c>
      <c r="AC24" s="9">
        <v>8.1268900000000005E-2</v>
      </c>
      <c r="AD24" s="9">
        <v>1.9879500000000001</v>
      </c>
      <c r="AE24" s="9">
        <v>1.70777</v>
      </c>
      <c r="AF24" s="9">
        <v>-1.73386</v>
      </c>
      <c r="AG24" s="9">
        <v>0.73118099999999997</v>
      </c>
      <c r="AH24" s="9">
        <v>-0.220997</v>
      </c>
      <c r="AI24" s="9">
        <v>6.5007099999999998E-2</v>
      </c>
      <c r="AJ24" s="27">
        <v>1790.73</v>
      </c>
      <c r="AK24" s="27">
        <v>1767.52</v>
      </c>
      <c r="AL24" s="9">
        <v>2.44611</v>
      </c>
      <c r="AM24" s="9">
        <v>0.41648400000000002</v>
      </c>
      <c r="AN24" s="9">
        <v>2.0782400000000001</v>
      </c>
      <c r="AO24" s="9">
        <v>14.2597</v>
      </c>
      <c r="AP24" s="9">
        <v>17.110199999999999</v>
      </c>
      <c r="AQ24" s="9">
        <v>7.1109999999999998</v>
      </c>
      <c r="AR24" s="9">
        <v>2.2866900000000001</v>
      </c>
      <c r="AS24" s="9">
        <v>1.5304500000000001</v>
      </c>
      <c r="AT24" s="9">
        <v>1.24143</v>
      </c>
      <c r="AU24" s="9">
        <v>0.97134699999999996</v>
      </c>
      <c r="AV24" s="9">
        <v>0.95631500000000003</v>
      </c>
      <c r="AW24" s="9">
        <v>0.89720900000000003</v>
      </c>
      <c r="AX24" s="9">
        <v>1.0363199999999999</v>
      </c>
      <c r="AY24" s="9">
        <v>1.0187299999999999</v>
      </c>
      <c r="AZ24" s="9">
        <v>0.96494999999999997</v>
      </c>
      <c r="BA24" s="9">
        <v>0.67093599999999998</v>
      </c>
      <c r="BB24" s="9">
        <v>0.41994100000000001</v>
      </c>
      <c r="BC24" s="9">
        <v>0.17733599999999999</v>
      </c>
      <c r="BD24" s="9">
        <v>0.109849</v>
      </c>
      <c r="BE24" s="9">
        <v>4.3302599999999997E-2</v>
      </c>
      <c r="BF24" s="9">
        <v>6.6448599999999997E-2</v>
      </c>
      <c r="BG24" s="9">
        <v>9.9022499999999999E-2</v>
      </c>
      <c r="BH24" s="9">
        <v>0.117615</v>
      </c>
      <c r="BI24" s="9">
        <v>0.123319</v>
      </c>
      <c r="BJ24" s="9">
        <v>0.11700000000000001</v>
      </c>
      <c r="BK24" s="9">
        <v>7.17338E-2</v>
      </c>
      <c r="BL24" s="9">
        <v>4.6250399999999997E-2</v>
      </c>
      <c r="BM24" s="9">
        <v>2.5300199999999998E-2</v>
      </c>
      <c r="BN24" s="9">
        <v>1.1660200000000001E-2</v>
      </c>
      <c r="BO24" s="9">
        <v>4.9183500000000002E-3</v>
      </c>
      <c r="BP24" s="9">
        <v>3.2473599999999999E-3</v>
      </c>
      <c r="BQ24" s="9">
        <v>1.5202900000000001E-3</v>
      </c>
    </row>
    <row r="25" spans="1:69" s="1" customFormat="1">
      <c r="A25" s="62">
        <f>IF(ISBLANK('Phase CEMS PM Concentrations'!A25),"",'Phase CEMS PM Concentrations'!A25)</f>
        <v>44351</v>
      </c>
      <c r="B25" s="62" t="str">
        <f>IF(ISBLANK('Phase CEMS PM Concentrations'!B25),"",'Phase CEMS PM Concentrations'!B25)</f>
        <v>BK Princess</v>
      </c>
      <c r="C25" s="62" t="str">
        <f>IF(ISBLANK('Phase CEMS PM Concentrations'!C25),"",'Phase CEMS PM Concentrations'!C25)</f>
        <v xml:space="preserve">None </v>
      </c>
      <c r="D25" s="62" t="str">
        <f>IF(ISBLANK('Phase CEMS PM Concentrations'!D25),"",'Phase CEMS PM Concentrations'!D25)</f>
        <v>Background</v>
      </c>
      <c r="E25" s="63">
        <v>44351.372743055559</v>
      </c>
      <c r="F25" s="63">
        <v>44351.373668981483</v>
      </c>
      <c r="G25" s="43">
        <v>4.8395100000000003E-2</v>
      </c>
      <c r="H25" s="43">
        <v>0.01</v>
      </c>
      <c r="I25" s="44">
        <v>20.958600000000001</v>
      </c>
      <c r="J25" s="66">
        <v>488.101</v>
      </c>
      <c r="K25" s="44">
        <v>-4.19815</v>
      </c>
      <c r="L25" s="44">
        <v>-0.31098799999999999</v>
      </c>
      <c r="M25" s="44">
        <v>2.5523500000000001</v>
      </c>
      <c r="N25" s="44">
        <v>1.81975</v>
      </c>
      <c r="O25" s="44">
        <v>0.05</v>
      </c>
      <c r="P25" s="44">
        <v>5.8888900000000001E-2</v>
      </c>
      <c r="Q25" s="66">
        <v>23.1968</v>
      </c>
      <c r="R25" s="44">
        <v>8.1734200000000007E-2</v>
      </c>
      <c r="S25" s="44">
        <v>1.96203E-2</v>
      </c>
      <c r="T25" s="44">
        <v>0.13338</v>
      </c>
      <c r="U25" s="44">
        <v>0.16834199999999999</v>
      </c>
      <c r="V25" s="44">
        <v>9.2025300000000004E-2</v>
      </c>
      <c r="W25" s="44">
        <v>5.7455699999999998E-2</v>
      </c>
      <c r="X25" s="44">
        <v>6.3531599999999994E-2</v>
      </c>
      <c r="Y25" s="44">
        <v>0.36004900000000001</v>
      </c>
      <c r="Z25" s="44">
        <v>-4.4975300000000003E-2</v>
      </c>
      <c r="AA25" s="44">
        <v>-0.36613600000000002</v>
      </c>
      <c r="AB25" s="44">
        <v>-0.25782699999999997</v>
      </c>
      <c r="AC25" s="44">
        <v>0.196469</v>
      </c>
      <c r="AD25" s="44">
        <v>3.5859800000000002</v>
      </c>
      <c r="AE25" s="44">
        <v>-1.5132300000000001</v>
      </c>
      <c r="AF25" s="44">
        <v>-0.31362899999999999</v>
      </c>
      <c r="AG25" s="44">
        <v>-0.46607300000000002</v>
      </c>
      <c r="AH25" s="44">
        <v>-0.44010300000000002</v>
      </c>
      <c r="AI25" s="44">
        <v>-0.94101699999999999</v>
      </c>
      <c r="AJ25" s="67">
        <v>977.976</v>
      </c>
      <c r="AK25" s="67">
        <v>937.14800000000002</v>
      </c>
      <c r="AL25" s="44">
        <v>1.3603700000000001</v>
      </c>
      <c r="AM25" s="44">
        <v>1.5814999999999999</v>
      </c>
      <c r="AN25" s="44">
        <v>2.4998499999999999</v>
      </c>
      <c r="AO25" s="44">
        <v>5.4373500000000003</v>
      </c>
      <c r="AP25" s="44">
        <v>5.5977699999999997</v>
      </c>
      <c r="AQ25" s="44">
        <v>2.1105999999999998</v>
      </c>
      <c r="AR25" s="44">
        <v>1.4873400000000001</v>
      </c>
      <c r="AS25" s="44">
        <v>1.40185</v>
      </c>
      <c r="AT25" s="44">
        <v>1.22919</v>
      </c>
      <c r="AU25" s="44">
        <v>1.14235</v>
      </c>
      <c r="AV25" s="44">
        <v>1.19685</v>
      </c>
      <c r="AW25" s="44">
        <v>1.17624</v>
      </c>
      <c r="AX25" s="44">
        <v>0.97005399999999997</v>
      </c>
      <c r="AY25" s="44">
        <v>0.49255300000000002</v>
      </c>
      <c r="AZ25" s="44">
        <v>0.41128399999999998</v>
      </c>
      <c r="BA25" s="44">
        <v>0.39170700000000003</v>
      </c>
      <c r="BB25" s="44">
        <v>0.38025199999999998</v>
      </c>
      <c r="BC25" s="44">
        <v>0.39292199999999999</v>
      </c>
      <c r="BD25" s="44">
        <v>0.39191100000000001</v>
      </c>
      <c r="BE25" s="44">
        <v>0.25722400000000001</v>
      </c>
      <c r="BF25" s="44">
        <v>0.21636</v>
      </c>
      <c r="BG25" s="44">
        <v>0.17047000000000001</v>
      </c>
      <c r="BH25" s="44">
        <v>0.149589</v>
      </c>
      <c r="BI25" s="44">
        <v>0.1406</v>
      </c>
      <c r="BJ25" s="44">
        <v>0.12809599999999999</v>
      </c>
      <c r="BK25" s="44">
        <v>8.8823100000000002E-2</v>
      </c>
      <c r="BL25" s="44">
        <v>6.1549199999999998E-2</v>
      </c>
      <c r="BM25" s="44">
        <v>3.3448899999999997E-2</v>
      </c>
      <c r="BN25" s="44">
        <v>1.6093099999999999E-2</v>
      </c>
      <c r="BO25" s="44">
        <v>1.0218400000000001E-2</v>
      </c>
      <c r="BP25" s="44">
        <v>9.93928E-3</v>
      </c>
      <c r="BQ25" s="44">
        <v>9.4000000000000004E-3</v>
      </c>
    </row>
    <row r="26" spans="1:69" s="1" customFormat="1">
      <c r="A26" s="62"/>
      <c r="B26" s="62"/>
      <c r="C26" s="62"/>
      <c r="D26" s="62"/>
      <c r="E26" s="63"/>
      <c r="F26" s="63"/>
      <c r="H26" s="44"/>
      <c r="I26" s="44"/>
      <c r="J26" s="66"/>
      <c r="K26" s="44"/>
      <c r="L26" s="44"/>
      <c r="M26" s="44"/>
      <c r="N26" s="44"/>
      <c r="O26" s="43"/>
      <c r="P26" s="43"/>
      <c r="Q26" s="43"/>
      <c r="R26" s="44"/>
      <c r="S26" s="44"/>
      <c r="T26" s="44"/>
      <c r="U26" s="44"/>
      <c r="V26" s="44"/>
      <c r="W26" s="44"/>
      <c r="X26" s="44"/>
      <c r="Y26" s="43"/>
      <c r="Z26" s="43"/>
      <c r="AA26" s="43"/>
      <c r="AB26" s="43"/>
      <c r="AC26" s="43"/>
      <c r="AD26" s="43"/>
      <c r="AE26" s="43"/>
      <c r="AF26" s="43"/>
      <c r="AG26" s="43"/>
      <c r="AH26" s="43"/>
      <c r="AI26" s="43"/>
      <c r="AJ26" s="67"/>
      <c r="AK26" s="67"/>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row>
    <row r="27" spans="1:69" s="1" customFormat="1">
      <c r="A27" s="62"/>
      <c r="B27" s="62"/>
      <c r="C27" s="62"/>
      <c r="D27" s="62"/>
      <c r="E27" s="63"/>
      <c r="F27" s="63"/>
      <c r="H27" s="44"/>
      <c r="I27" s="44"/>
      <c r="J27" s="66"/>
      <c r="K27" s="44"/>
      <c r="L27" s="44"/>
      <c r="M27" s="44"/>
      <c r="N27" s="44"/>
      <c r="O27" s="43"/>
      <c r="P27" s="43"/>
      <c r="Q27" s="43"/>
      <c r="R27" s="43"/>
      <c r="S27" s="43"/>
      <c r="T27" s="43"/>
      <c r="U27" s="43"/>
      <c r="V27" s="43"/>
      <c r="W27" s="43"/>
      <c r="X27" s="43"/>
      <c r="Y27" s="43"/>
      <c r="Z27" s="43"/>
      <c r="AA27" s="43"/>
      <c r="AB27" s="43"/>
      <c r="AC27" s="43"/>
      <c r="AD27" s="43"/>
      <c r="AE27" s="43"/>
      <c r="AF27" s="43"/>
      <c r="AG27" s="43"/>
      <c r="AH27" s="43"/>
      <c r="AI27" s="43"/>
      <c r="AJ27" s="67"/>
      <c r="AK27" s="67"/>
      <c r="AL27" s="44"/>
      <c r="AM27" s="161" t="s">
        <v>486</v>
      </c>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row>
    <row r="28" spans="1:69" s="1" customFormat="1">
      <c r="A28" s="62"/>
      <c r="B28" s="62"/>
      <c r="C28" s="62"/>
      <c r="D28" s="62"/>
      <c r="E28" s="63"/>
      <c r="F28" s="63"/>
      <c r="H28" s="44"/>
      <c r="I28" s="44"/>
      <c r="J28" s="66"/>
      <c r="K28" s="44"/>
      <c r="L28" s="44"/>
      <c r="M28" s="44"/>
      <c r="N28" s="44"/>
      <c r="O28" s="43"/>
      <c r="P28" s="43"/>
      <c r="Q28" s="43"/>
      <c r="R28" s="43"/>
      <c r="S28" s="43"/>
      <c r="T28" s="43"/>
      <c r="U28" s="43"/>
      <c r="V28" s="43"/>
      <c r="W28" s="43"/>
      <c r="X28" s="43"/>
      <c r="Y28" s="43"/>
      <c r="Z28" s="43"/>
      <c r="AA28" s="43"/>
      <c r="AB28" s="43"/>
      <c r="AC28" s="43"/>
      <c r="AD28" s="43"/>
      <c r="AE28" s="43"/>
      <c r="AF28" s="43"/>
      <c r="AG28" s="43"/>
      <c r="AH28" s="43"/>
      <c r="AI28" s="43"/>
      <c r="AJ28" s="67"/>
      <c r="AK28" s="67"/>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row>
    <row r="29" spans="1:69" s="1" customFormat="1">
      <c r="A29" s="62"/>
      <c r="B29" s="62"/>
      <c r="C29" s="62"/>
      <c r="D29" s="62"/>
      <c r="E29" s="63"/>
      <c r="F29" s="63"/>
      <c r="H29" s="44"/>
      <c r="I29" s="44"/>
      <c r="J29" s="66"/>
      <c r="K29" s="44"/>
      <c r="L29" s="44"/>
      <c r="M29" s="44"/>
      <c r="N29" s="44"/>
      <c r="O29" s="43"/>
      <c r="P29" s="43"/>
      <c r="Q29" s="43"/>
      <c r="R29" s="43"/>
      <c r="S29" s="43"/>
      <c r="T29" s="43"/>
      <c r="U29" s="43"/>
      <c r="V29" s="43"/>
      <c r="W29" s="43"/>
      <c r="X29" s="43"/>
      <c r="Y29" s="43"/>
      <c r="Z29" s="43"/>
      <c r="AA29" s="43"/>
      <c r="AB29" s="43"/>
      <c r="AC29" s="43"/>
      <c r="AD29" s="43"/>
      <c r="AE29" s="43"/>
      <c r="AF29" s="43"/>
      <c r="AG29" s="43"/>
      <c r="AH29" s="43"/>
      <c r="AI29" s="43"/>
      <c r="AJ29" s="67"/>
      <c r="AK29" s="67"/>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row>
    <row r="30" spans="1:69" s="1" customFormat="1" ht="60">
      <c r="A30" s="62"/>
      <c r="B30" s="62" t="s">
        <v>487</v>
      </c>
      <c r="C30" s="62"/>
      <c r="D30" s="62"/>
      <c r="E30" s="63"/>
      <c r="F30" s="63"/>
      <c r="H30" s="44"/>
      <c r="I30" s="44"/>
      <c r="J30" s="66"/>
      <c r="K30" s="44"/>
      <c r="L30" s="44"/>
      <c r="M30" s="44"/>
      <c r="N30" s="44"/>
      <c r="O30" s="43"/>
      <c r="P30" s="43"/>
      <c r="Q30" s="43"/>
      <c r="R30" s="43"/>
      <c r="S30" s="43"/>
      <c r="T30" s="43"/>
      <c r="U30" s="43"/>
      <c r="V30" s="43"/>
      <c r="W30" s="43"/>
      <c r="X30" s="43"/>
      <c r="Y30" s="43"/>
      <c r="Z30" s="43"/>
      <c r="AA30" s="43"/>
      <c r="AB30" s="43"/>
      <c r="AC30" s="43"/>
      <c r="AD30" s="43"/>
      <c r="AE30" s="43"/>
      <c r="AF30" s="43"/>
      <c r="AG30" s="43"/>
      <c r="AI30" s="43"/>
      <c r="AJ30" s="67"/>
      <c r="AK30" s="67"/>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row>
    <row r="31" spans="1:69" s="1" customFormat="1" ht="30">
      <c r="A31" s="62">
        <v>44301</v>
      </c>
      <c r="B31" s="62" t="s">
        <v>488</v>
      </c>
      <c r="C31" s="62" t="s">
        <v>489</v>
      </c>
      <c r="D31" s="62" t="s">
        <v>490</v>
      </c>
      <c r="E31" s="63">
        <v>44301.404166666667</v>
      </c>
      <c r="F31" s="63">
        <v>44301.571793981479</v>
      </c>
      <c r="G31" s="43">
        <v>0.124543</v>
      </c>
      <c r="H31" s="43">
        <v>1.00207E-2</v>
      </c>
      <c r="I31" s="44">
        <v>20.957599999999999</v>
      </c>
      <c r="J31" s="66">
        <v>430.61399999999998</v>
      </c>
      <c r="K31" s="44">
        <v>-3.0836100000000002</v>
      </c>
      <c r="L31" s="44">
        <v>-1.7606999999999999</v>
      </c>
      <c r="M31" s="44">
        <v>2.63802</v>
      </c>
      <c r="N31" s="44"/>
      <c r="O31" s="44">
        <v>1.36758E-2</v>
      </c>
      <c r="P31" s="44">
        <v>2.8632299999999999E-2</v>
      </c>
      <c r="Q31" s="66">
        <v>40.681399999999996</v>
      </c>
      <c r="R31" s="44">
        <v>2.4698999999999999E-2</v>
      </c>
      <c r="S31" s="44">
        <v>2.1409000000000001E-2</v>
      </c>
      <c r="T31" s="44">
        <v>1.9949999999999999E-2</v>
      </c>
      <c r="U31" s="44">
        <v>2.0102700000000001E-2</v>
      </c>
      <c r="V31" s="44">
        <v>1.7422199999999999E-2</v>
      </c>
      <c r="W31" s="44">
        <v>1.24247E-2</v>
      </c>
      <c r="X31" s="44">
        <v>-1.8478100000000001E-3</v>
      </c>
      <c r="Y31" s="44"/>
      <c r="Z31" s="44"/>
      <c r="AA31" s="44"/>
      <c r="AB31" s="44"/>
      <c r="AC31" s="44"/>
      <c r="AD31" s="44"/>
      <c r="AE31" s="44"/>
      <c r="AF31" s="44"/>
      <c r="AG31" s="44"/>
      <c r="AH31" s="44"/>
      <c r="AI31" s="44"/>
      <c r="AJ31" s="67">
        <v>2653.19</v>
      </c>
      <c r="AK31" s="67">
        <v>2482.75</v>
      </c>
      <c r="AL31" s="44">
        <v>5.0526600000000004</v>
      </c>
      <c r="AM31" s="44">
        <v>6.02318</v>
      </c>
      <c r="AN31" s="44">
        <v>5.4661499999999998</v>
      </c>
      <c r="AO31" s="44">
        <v>8.4174100000000003</v>
      </c>
      <c r="AP31" s="44">
        <v>8.5469799999999996</v>
      </c>
      <c r="AQ31" s="44">
        <v>5.4088500000000002</v>
      </c>
      <c r="AR31" s="44">
        <v>4.6685499999999998</v>
      </c>
      <c r="AS31" s="44">
        <v>5.0026799999999998</v>
      </c>
      <c r="AT31" s="44">
        <v>4.7386200000000001</v>
      </c>
      <c r="AU31" s="44">
        <v>3.82599</v>
      </c>
      <c r="AV31" s="44">
        <v>3.7333400000000001</v>
      </c>
      <c r="AW31" s="44">
        <v>3.7770000000000001</v>
      </c>
      <c r="AX31" s="44">
        <v>3.5295999999999998</v>
      </c>
      <c r="AY31" s="44">
        <v>2.7015500000000001</v>
      </c>
      <c r="AZ31" s="44">
        <v>2.1975500000000001</v>
      </c>
      <c r="BA31" s="44">
        <v>1.82728</v>
      </c>
      <c r="BB31" s="44">
        <v>1.53362</v>
      </c>
      <c r="BC31" s="44">
        <v>1.3399799999999999</v>
      </c>
      <c r="BD31" s="44">
        <v>1.1327799999999999</v>
      </c>
      <c r="BE31" s="44">
        <v>0.80785200000000001</v>
      </c>
      <c r="BF31" s="44">
        <v>0.66462600000000005</v>
      </c>
      <c r="BG31" s="44">
        <v>0.53690499999999997</v>
      </c>
      <c r="BH31" s="44">
        <v>0.50094099999999997</v>
      </c>
      <c r="BI31" s="44">
        <v>0.54730800000000002</v>
      </c>
      <c r="BJ31" s="44">
        <v>0.55107899999999999</v>
      </c>
      <c r="BK31" s="44">
        <v>0.475383</v>
      </c>
      <c r="BL31" s="44">
        <v>0.39619900000000002</v>
      </c>
      <c r="BM31" s="44">
        <v>0.296871</v>
      </c>
      <c r="BN31" s="44">
        <v>0.22017</v>
      </c>
      <c r="BO31" s="44">
        <v>0.170569</v>
      </c>
      <c r="BP31" s="44">
        <v>0.13660800000000001</v>
      </c>
      <c r="BQ31" s="44">
        <v>0.113533</v>
      </c>
    </row>
    <row r="32" spans="1:69" s="1" customFormat="1" ht="30">
      <c r="A32" s="62">
        <v>44351</v>
      </c>
      <c r="B32" s="62" t="s">
        <v>488</v>
      </c>
      <c r="C32" s="62" t="s">
        <v>489</v>
      </c>
      <c r="D32" s="62" t="s">
        <v>490</v>
      </c>
      <c r="E32" s="63">
        <v>44351.373611111114</v>
      </c>
      <c r="F32" s="63">
        <v>44351.540277777778</v>
      </c>
      <c r="G32" s="43">
        <v>4.08805E-2</v>
      </c>
      <c r="H32" s="43">
        <v>9.4410099999999997E-3</v>
      </c>
      <c r="I32" s="44">
        <v>21.068999999999999</v>
      </c>
      <c r="J32" s="66">
        <v>442.53399999999999</v>
      </c>
      <c r="K32" s="44">
        <v>-4.2146400000000002</v>
      </c>
      <c r="L32" s="44">
        <v>-0.61384799999999995</v>
      </c>
      <c r="M32" s="44">
        <v>2.5526200000000001</v>
      </c>
      <c r="N32" s="44">
        <v>1.82853</v>
      </c>
      <c r="O32" s="44">
        <v>4.2708799999999998E-2</v>
      </c>
      <c r="P32" s="44">
        <v>4.9246600000000001E-2</v>
      </c>
      <c r="Q32" s="66">
        <v>21.468299999999999</v>
      </c>
      <c r="R32" s="44">
        <v>2.6523600000000001E-2</v>
      </c>
      <c r="S32" s="44">
        <v>9.6876099999999993E-3</v>
      </c>
      <c r="T32" s="44">
        <v>4.5628799999999997E-2</v>
      </c>
      <c r="U32" s="44">
        <v>9.8513699999999996E-2</v>
      </c>
      <c r="V32" s="44">
        <v>1.6575099999999999E-2</v>
      </c>
      <c r="W32" s="44">
        <v>1.9522999999999999E-2</v>
      </c>
      <c r="X32" s="44">
        <v>4.30076E-2</v>
      </c>
      <c r="Y32" s="44">
        <v>0.13339400000000001</v>
      </c>
      <c r="Z32" s="44">
        <v>-5.1095399999999999E-2</v>
      </c>
      <c r="AA32" s="44">
        <v>-6.9505899999999995E-2</v>
      </c>
      <c r="AB32" s="44">
        <v>-8.6364200000000002E-2</v>
      </c>
      <c r="AC32" s="44">
        <v>0.125083</v>
      </c>
      <c r="AD32" s="44">
        <v>1.31148</v>
      </c>
      <c r="AE32" s="44">
        <v>-0.12948299999999999</v>
      </c>
      <c r="AF32" s="44">
        <v>-1.45095</v>
      </c>
      <c r="AG32" s="44">
        <v>0.21443000000000001</v>
      </c>
      <c r="AH32" s="44">
        <v>0.19667299999999999</v>
      </c>
      <c r="AI32" s="44">
        <v>-0.150424</v>
      </c>
      <c r="AJ32" s="67">
        <v>1327.38</v>
      </c>
      <c r="AK32" s="67">
        <v>1308.3699999999999</v>
      </c>
      <c r="AL32" s="44">
        <v>1.10622</v>
      </c>
      <c r="AM32" s="44">
        <v>1.57124</v>
      </c>
      <c r="AN32" s="44">
        <v>3.6110899999999999</v>
      </c>
      <c r="AO32" s="44">
        <v>9.6456400000000002</v>
      </c>
      <c r="AP32" s="44">
        <v>9.9339099999999991</v>
      </c>
      <c r="AQ32" s="44">
        <v>3.7429399999999999</v>
      </c>
      <c r="AR32" s="44">
        <v>1.7417</v>
      </c>
      <c r="AS32" s="44">
        <v>1.64775</v>
      </c>
      <c r="AT32" s="44">
        <v>1.6782900000000001</v>
      </c>
      <c r="AU32" s="44">
        <v>1.38568</v>
      </c>
      <c r="AV32" s="44">
        <v>1.30141</v>
      </c>
      <c r="AW32" s="44">
        <v>1.08416</v>
      </c>
      <c r="AX32" s="44">
        <v>0.89022299999999999</v>
      </c>
      <c r="AY32" s="44">
        <v>0.48093399999999997</v>
      </c>
      <c r="AZ32" s="44">
        <v>0.29730800000000002</v>
      </c>
      <c r="BA32" s="44">
        <v>0.19370699999999999</v>
      </c>
      <c r="BB32" s="44">
        <v>0.18487500000000001</v>
      </c>
      <c r="BC32" s="44">
        <v>0.19600999999999999</v>
      </c>
      <c r="BD32" s="44">
        <v>0.196385</v>
      </c>
      <c r="BE32" s="44">
        <v>0.105937</v>
      </c>
      <c r="BF32" s="44">
        <v>8.5094000000000003E-2</v>
      </c>
      <c r="BG32" s="44">
        <v>7.0076700000000006E-2</v>
      </c>
      <c r="BH32" s="44">
        <v>7.1366100000000002E-2</v>
      </c>
      <c r="BI32" s="44">
        <v>7.5027800000000006E-2</v>
      </c>
      <c r="BJ32" s="44">
        <v>7.5915200000000002E-2</v>
      </c>
      <c r="BK32" s="44">
        <v>4.85161E-2</v>
      </c>
      <c r="BL32" s="44">
        <v>3.0989300000000001E-2</v>
      </c>
      <c r="BM32" s="44">
        <v>1.45744E-2</v>
      </c>
      <c r="BN32" s="44">
        <v>6.8903200000000001E-3</v>
      </c>
      <c r="BO32" s="44">
        <v>3.5844700000000002E-3</v>
      </c>
      <c r="BP32" s="44">
        <v>3.08596E-3</v>
      </c>
      <c r="BQ32" s="44">
        <v>2.9852500000000001E-3</v>
      </c>
    </row>
    <row r="33" spans="1:69">
      <c r="A33" s="4"/>
      <c r="C33" s="20"/>
      <c r="D33" s="20"/>
      <c r="E33" s="38"/>
      <c r="F33" s="38"/>
      <c r="H33" s="9"/>
      <c r="I33" s="9"/>
      <c r="J33" s="25"/>
      <c r="K33" s="9"/>
      <c r="L33" s="9"/>
      <c r="M33" s="44"/>
      <c r="N33" s="44"/>
      <c r="O33" s="43"/>
      <c r="P33" s="43"/>
      <c r="Q33" s="43"/>
      <c r="R33" s="2"/>
      <c r="S33" s="2"/>
      <c r="T33" s="2"/>
      <c r="U33" s="2"/>
      <c r="V33" s="2"/>
      <c r="W33" s="2"/>
      <c r="X33" s="2"/>
      <c r="Y33" s="2"/>
      <c r="Z33" s="2"/>
      <c r="AA33" s="2"/>
      <c r="AB33" s="2"/>
      <c r="AC33" s="2"/>
      <c r="AD33" s="2"/>
      <c r="AE33" s="2"/>
      <c r="AF33" s="2"/>
      <c r="AG33" s="2"/>
      <c r="AH33" s="2"/>
      <c r="AI33" s="2"/>
      <c r="AJ33" s="27"/>
      <c r="AK33" s="27"/>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row>
    <row r="34" spans="1:69" s="71" customFormat="1" ht="30">
      <c r="A34" s="69" t="s">
        <v>491</v>
      </c>
      <c r="B34" s="70" t="s">
        <v>488</v>
      </c>
      <c r="C34" s="70" t="s">
        <v>489</v>
      </c>
      <c r="D34" s="70" t="s">
        <v>492</v>
      </c>
      <c r="E34" s="72"/>
      <c r="F34" s="72"/>
      <c r="G34" s="78">
        <f t="shared" ref="G34:AF34" si="0">AVERAGE(G25,G2)</f>
        <v>8.7926549999999992E-2</v>
      </c>
      <c r="H34" s="78">
        <f t="shared" si="0"/>
        <v>0.01</v>
      </c>
      <c r="I34" s="73">
        <f t="shared" si="0"/>
        <v>20.975300000000001</v>
      </c>
      <c r="J34" s="118">
        <f t="shared" si="0"/>
        <v>476.2715</v>
      </c>
      <c r="K34" s="73">
        <f t="shared" si="0"/>
        <v>-5.45221</v>
      </c>
      <c r="L34" s="73">
        <f t="shared" si="0"/>
        <v>-0.82676400000000005</v>
      </c>
      <c r="M34" s="73">
        <f t="shared" si="0"/>
        <v>2.473465</v>
      </c>
      <c r="N34" s="73">
        <f>AVERAGE(N25,N2)</f>
        <v>1.81975</v>
      </c>
      <c r="O34" s="73">
        <f t="shared" si="0"/>
        <v>3.5847450000000003E-2</v>
      </c>
      <c r="P34" s="73">
        <f t="shared" si="0"/>
        <v>4.90207E-2</v>
      </c>
      <c r="Q34" s="118">
        <f t="shared" si="0"/>
        <v>33.5274</v>
      </c>
      <c r="R34" s="73">
        <f t="shared" si="0"/>
        <v>0.97388710000000001</v>
      </c>
      <c r="S34" s="73">
        <f t="shared" si="0"/>
        <v>0.93708015</v>
      </c>
      <c r="T34" s="73">
        <f t="shared" si="0"/>
        <v>0.34554099999999999</v>
      </c>
      <c r="U34" s="73">
        <f t="shared" si="0"/>
        <v>0.34849550000000001</v>
      </c>
      <c r="V34" s="73">
        <f t="shared" si="0"/>
        <v>0.19921464999999999</v>
      </c>
      <c r="W34" s="73">
        <f t="shared" si="0"/>
        <v>0.26530684999999998</v>
      </c>
      <c r="X34" s="73">
        <f t="shared" si="0"/>
        <v>0.56089079999999991</v>
      </c>
      <c r="Y34" s="73">
        <f>AVERAGE(Y25,Y2)</f>
        <v>0.36004900000000001</v>
      </c>
      <c r="Z34" s="73">
        <f t="shared" si="0"/>
        <v>-4.4975300000000003E-2</v>
      </c>
      <c r="AA34" s="73">
        <f t="shared" si="0"/>
        <v>-0.36613600000000002</v>
      </c>
      <c r="AB34" s="73">
        <f t="shared" si="0"/>
        <v>-0.25782699999999997</v>
      </c>
      <c r="AC34" s="73">
        <f t="shared" si="0"/>
        <v>0.196469</v>
      </c>
      <c r="AD34" s="73">
        <f t="shared" si="0"/>
        <v>3.5859800000000002</v>
      </c>
      <c r="AE34" s="73">
        <f t="shared" si="0"/>
        <v>-1.5132300000000001</v>
      </c>
      <c r="AF34" s="73">
        <f t="shared" si="0"/>
        <v>-0.31362899999999999</v>
      </c>
      <c r="AG34" s="73">
        <f t="shared" ref="AG34:AW34" si="1">AVERAGE(AG25,AG2)</f>
        <v>-0.46607300000000002</v>
      </c>
      <c r="AH34" s="73">
        <f t="shared" si="1"/>
        <v>-0.44010300000000002</v>
      </c>
      <c r="AI34" s="73">
        <f t="shared" si="1"/>
        <v>-0.94101699999999999</v>
      </c>
      <c r="AJ34" s="120">
        <f t="shared" si="1"/>
        <v>1815.5830000000001</v>
      </c>
      <c r="AK34" s="120">
        <f t="shared" si="1"/>
        <v>1709.9490000000001</v>
      </c>
      <c r="AL34" s="73">
        <f t="shared" si="1"/>
        <v>3.2065150000000004</v>
      </c>
      <c r="AM34" s="73">
        <f t="shared" si="1"/>
        <v>3.8023400000000001</v>
      </c>
      <c r="AN34" s="73">
        <f t="shared" si="1"/>
        <v>3.9829999999999997</v>
      </c>
      <c r="AO34" s="73">
        <f t="shared" si="1"/>
        <v>6.9273800000000003</v>
      </c>
      <c r="AP34" s="73">
        <f t="shared" si="1"/>
        <v>7.0723749999999992</v>
      </c>
      <c r="AQ34" s="73">
        <f t="shared" si="1"/>
        <v>3.759725</v>
      </c>
      <c r="AR34" s="73">
        <f t="shared" si="1"/>
        <v>3.0779449999999997</v>
      </c>
      <c r="AS34" s="73">
        <f t="shared" si="1"/>
        <v>3.2022649999999997</v>
      </c>
      <c r="AT34" s="73">
        <f t="shared" si="1"/>
        <v>2.983905</v>
      </c>
      <c r="AU34" s="73">
        <f t="shared" si="1"/>
        <v>2.4841699999999998</v>
      </c>
      <c r="AV34" s="73">
        <f t="shared" si="1"/>
        <v>2.4650949999999998</v>
      </c>
      <c r="AW34" s="73">
        <f t="shared" si="1"/>
        <v>2.47662</v>
      </c>
      <c r="AX34" s="73">
        <f t="shared" ref="AX34:BQ34" si="2">AVERAGE(AX25,AX2)</f>
        <v>2.2498269999999998</v>
      </c>
      <c r="AY34" s="73">
        <f t="shared" si="2"/>
        <v>1.5970515000000001</v>
      </c>
      <c r="AZ34" s="73">
        <f t="shared" si="2"/>
        <v>1.3044169999999999</v>
      </c>
      <c r="BA34" s="73">
        <f t="shared" si="2"/>
        <v>1.1094935000000001</v>
      </c>
      <c r="BB34" s="73">
        <f t="shared" si="2"/>
        <v>0.95693600000000001</v>
      </c>
      <c r="BC34" s="73">
        <f t="shared" si="2"/>
        <v>0.86645099999999997</v>
      </c>
      <c r="BD34" s="73">
        <f t="shared" si="2"/>
        <v>0.7623454999999999</v>
      </c>
      <c r="BE34" s="73">
        <f t="shared" si="2"/>
        <v>0.53253799999999996</v>
      </c>
      <c r="BF34" s="73">
        <f t="shared" si="2"/>
        <v>0.44049300000000002</v>
      </c>
      <c r="BG34" s="73">
        <f t="shared" si="2"/>
        <v>0.35368749999999999</v>
      </c>
      <c r="BH34" s="73">
        <f t="shared" si="2"/>
        <v>0.32526499999999997</v>
      </c>
      <c r="BI34" s="73">
        <f t="shared" si="2"/>
        <v>0.34395399999999998</v>
      </c>
      <c r="BJ34" s="73">
        <f t="shared" si="2"/>
        <v>0.33958749999999999</v>
      </c>
      <c r="BK34" s="73">
        <f t="shared" si="2"/>
        <v>0.28210305000000002</v>
      </c>
      <c r="BL34" s="73">
        <f t="shared" si="2"/>
        <v>0.22887410000000002</v>
      </c>
      <c r="BM34" s="73">
        <f t="shared" si="2"/>
        <v>0.16515995</v>
      </c>
      <c r="BN34" s="73">
        <f t="shared" si="2"/>
        <v>0.11813155</v>
      </c>
      <c r="BO34" s="73">
        <f t="shared" si="2"/>
        <v>9.0393699999999993E-2</v>
      </c>
      <c r="BP34" s="73">
        <f t="shared" si="2"/>
        <v>7.3273640000000001E-2</v>
      </c>
      <c r="BQ34" s="73">
        <f t="shared" si="2"/>
        <v>6.14665E-2</v>
      </c>
    </row>
    <row r="35" spans="1:69" s="71" customFormat="1">
      <c r="A35" s="69"/>
      <c r="C35" s="74"/>
      <c r="D35" s="74" t="s">
        <v>493</v>
      </c>
      <c r="E35" s="72"/>
      <c r="F35" s="72"/>
      <c r="G35" s="75">
        <f t="shared" ref="G35:X35" si="3">ABS(G25-G2)*0.5/(G25+G2)</f>
        <v>0.2247981411757882</v>
      </c>
      <c r="H35" s="75">
        <f t="shared" si="3"/>
        <v>0</v>
      </c>
      <c r="I35" s="75">
        <f t="shared" si="3"/>
        <v>3.9808727407951634E-4</v>
      </c>
      <c r="J35" s="75">
        <f t="shared" si="3"/>
        <v>1.2418861930642497E-2</v>
      </c>
      <c r="K35" s="75">
        <f t="shared" si="3"/>
        <v>-0.11500474119668905</v>
      </c>
      <c r="L35" s="75">
        <f t="shared" si="3"/>
        <v>-0.31192456372072319</v>
      </c>
      <c r="M35" s="75">
        <f t="shared" si="3"/>
        <v>1.594625353502073E-2</v>
      </c>
      <c r="N35" s="44"/>
      <c r="O35" s="75">
        <f t="shared" si="3"/>
        <v>0.19739967556967092</v>
      </c>
      <c r="P35" s="75">
        <f t="shared" si="3"/>
        <v>0.10065339744230499</v>
      </c>
      <c r="Q35" s="75">
        <f t="shared" si="3"/>
        <v>0.15406205074058826</v>
      </c>
      <c r="R35" s="75">
        <f t="shared" si="3"/>
        <v>0.45803712771223681</v>
      </c>
      <c r="S35" s="75">
        <f t="shared" si="3"/>
        <v>0.48953115163094646</v>
      </c>
      <c r="T35" s="75">
        <f t="shared" si="3"/>
        <v>0.30699830121461713</v>
      </c>
      <c r="U35" s="75">
        <f t="shared" si="3"/>
        <v>0.25847320840584742</v>
      </c>
      <c r="V35" s="75">
        <f t="shared" si="3"/>
        <v>0.26902978771892533</v>
      </c>
      <c r="W35" s="75">
        <f t="shared" si="3"/>
        <v>0.39171840078761633</v>
      </c>
      <c r="X35" s="75">
        <f t="shared" si="3"/>
        <v>0.4433654465361172</v>
      </c>
      <c r="Y35" s="44"/>
      <c r="Z35" s="44"/>
      <c r="AA35" s="44"/>
      <c r="AB35" s="44"/>
      <c r="AC35" s="44"/>
      <c r="AD35" s="44"/>
      <c r="AE35" s="44"/>
      <c r="AF35" s="44"/>
      <c r="AG35" s="44"/>
      <c r="AH35" s="44"/>
      <c r="AI35" s="44"/>
      <c r="AJ35" s="75">
        <f t="shared" ref="AJ35:AW35" si="4">ABS(AJ25-AJ2)*0.5/(AJ25+AJ2)</f>
        <v>0.23067163550220507</v>
      </c>
      <c r="AK35" s="75">
        <f t="shared" si="4"/>
        <v>0.22597194419248759</v>
      </c>
      <c r="AL35" s="75">
        <f t="shared" si="4"/>
        <v>0.28787406265057236</v>
      </c>
      <c r="AM35" s="75">
        <f t="shared" si="4"/>
        <v>0.29203595680554606</v>
      </c>
      <c r="AN35" s="75">
        <f t="shared" si="4"/>
        <v>0.18618503640472006</v>
      </c>
      <c r="AO35" s="75">
        <f t="shared" si="4"/>
        <v>0.10754643169567715</v>
      </c>
      <c r="AP35" s="75">
        <f t="shared" si="4"/>
        <v>0.10425104720832819</v>
      </c>
      <c r="AQ35" s="75">
        <f t="shared" si="4"/>
        <v>0.21931457752894162</v>
      </c>
      <c r="AR35" s="75">
        <f t="shared" si="4"/>
        <v>0.25838749555303947</v>
      </c>
      <c r="AS35" s="75">
        <f t="shared" si="4"/>
        <v>0.2811158664257955</v>
      </c>
      <c r="AT35" s="75">
        <f t="shared" si="4"/>
        <v>0.29402997079330606</v>
      </c>
      <c r="AU35" s="75">
        <f t="shared" si="4"/>
        <v>0.27007410925983327</v>
      </c>
      <c r="AV35" s="75">
        <f t="shared" si="4"/>
        <v>0.25724059316172404</v>
      </c>
      <c r="AW35" s="75">
        <f t="shared" si="4"/>
        <v>0.26253119170482353</v>
      </c>
      <c r="AX35" s="75">
        <f t="shared" ref="AX35:BQ35" si="5">ABS(AX25-AX2)*0.5/(AX25+AX2)</f>
        <v>0.28441586842010524</v>
      </c>
      <c r="AY35" s="75">
        <f t="shared" si="5"/>
        <v>0.34579301293665232</v>
      </c>
      <c r="AZ35" s="75">
        <f t="shared" si="5"/>
        <v>0.34234949406516479</v>
      </c>
      <c r="BA35" s="75">
        <f t="shared" si="5"/>
        <v>0.32347485586891672</v>
      </c>
      <c r="BB35" s="75">
        <f t="shared" si="5"/>
        <v>0.30131795647775816</v>
      </c>
      <c r="BC35" s="75">
        <f t="shared" si="5"/>
        <v>0.27325780684654988</v>
      </c>
      <c r="BD35" s="75">
        <f t="shared" si="5"/>
        <v>0.24295709753648445</v>
      </c>
      <c r="BE35" s="75">
        <f t="shared" si="5"/>
        <v>0.25849235171950175</v>
      </c>
      <c r="BF35" s="75">
        <f t="shared" si="5"/>
        <v>0.25441153434901354</v>
      </c>
      <c r="BG35" s="75">
        <f t="shared" si="5"/>
        <v>0.2590104258702951</v>
      </c>
      <c r="BH35" s="75">
        <f t="shared" si="5"/>
        <v>0.27005057414723382</v>
      </c>
      <c r="BI35" s="75">
        <f t="shared" si="5"/>
        <v>0.29561220395750598</v>
      </c>
      <c r="BJ35" s="75">
        <f t="shared" si="5"/>
        <v>0.31139470681341336</v>
      </c>
      <c r="BK35" s="75">
        <f t="shared" si="5"/>
        <v>0.34256976307062259</v>
      </c>
      <c r="BL35" s="75">
        <f t="shared" si="5"/>
        <v>0.36553917634192767</v>
      </c>
      <c r="BM35" s="75">
        <f t="shared" si="5"/>
        <v>0.39873785987462457</v>
      </c>
      <c r="BN35" s="75">
        <f t="shared" si="5"/>
        <v>0.43188483516892823</v>
      </c>
      <c r="BO35" s="75">
        <f t="shared" si="5"/>
        <v>0.44347836187698925</v>
      </c>
      <c r="BP35" s="75">
        <f t="shared" si="5"/>
        <v>0.43217697387491605</v>
      </c>
      <c r="BQ35" s="75">
        <f t="shared" si="5"/>
        <v>0.42353558442403583</v>
      </c>
    </row>
    <row r="36" spans="1:69">
      <c r="A36" s="20"/>
      <c r="B36" s="3"/>
      <c r="C36" s="3"/>
      <c r="D36" s="3"/>
      <c r="E36" s="38"/>
      <c r="F36" s="38"/>
      <c r="G36" s="9"/>
      <c r="H36" s="9"/>
      <c r="I36" s="9"/>
      <c r="J36" s="25"/>
      <c r="K36" s="9"/>
      <c r="L36" s="9"/>
      <c r="M36" s="9"/>
      <c r="N36" s="9"/>
      <c r="O36" s="2"/>
      <c r="P36" s="2"/>
      <c r="Q36" s="2"/>
      <c r="R36" s="2"/>
      <c r="S36" s="2"/>
      <c r="T36" s="2"/>
      <c r="U36" s="2"/>
      <c r="V36" s="2"/>
      <c r="W36" s="2"/>
      <c r="X36" s="2"/>
      <c r="Y36" s="2"/>
      <c r="Z36" s="2"/>
      <c r="AA36" s="2"/>
      <c r="AB36" s="2"/>
      <c r="AC36" s="2"/>
      <c r="AD36" s="2"/>
      <c r="AE36" s="2"/>
      <c r="AF36" s="2"/>
      <c r="AG36" s="2"/>
      <c r="AH36" s="2"/>
      <c r="AI36" s="2"/>
      <c r="AJ36" s="27"/>
      <c r="AK36" s="27"/>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row>
    <row r="37" spans="1:69">
      <c r="A37" s="4"/>
      <c r="B37" s="3"/>
      <c r="C37" s="3"/>
      <c r="D37" s="3"/>
      <c r="E37" s="38"/>
      <c r="F37" s="38"/>
      <c r="G37" s="9"/>
      <c r="H37" s="9"/>
      <c r="I37" s="9"/>
      <c r="J37" s="25"/>
      <c r="K37" s="9"/>
      <c r="L37" s="9"/>
      <c r="M37" s="9"/>
      <c r="N37" s="9"/>
      <c r="O37" s="2"/>
      <c r="P37" s="2"/>
      <c r="Q37" s="2"/>
      <c r="R37" s="2"/>
      <c r="S37" s="2"/>
      <c r="T37" s="2"/>
      <c r="U37" s="2"/>
      <c r="V37" s="2"/>
      <c r="W37" s="2"/>
      <c r="X37" s="2"/>
      <c r="Y37" s="2"/>
      <c r="Z37" s="2"/>
      <c r="AA37" s="2"/>
      <c r="AB37" s="2"/>
      <c r="AC37" s="2"/>
      <c r="AD37" s="2"/>
      <c r="AE37" s="2"/>
      <c r="AF37" s="2"/>
      <c r="AG37" s="2"/>
      <c r="AH37" s="2"/>
      <c r="AI37" s="2"/>
      <c r="AJ37" s="27"/>
      <c r="AK37" s="27"/>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row>
    <row r="38" spans="1:69" s="7" customFormat="1" ht="45">
      <c r="A38" s="4"/>
      <c r="B38" s="3"/>
      <c r="C38" s="3"/>
      <c r="D38" s="3"/>
      <c r="E38" s="38"/>
      <c r="F38" s="38"/>
      <c r="G38" s="121" t="str">
        <f t="shared" ref="G38:AF38" si="6">G1</f>
        <v>Chimney CO2 (%)</v>
      </c>
      <c r="H38" s="121" t="str">
        <f t="shared" si="6"/>
        <v>Chimney CO (%)</v>
      </c>
      <c r="I38" s="121" t="str">
        <f t="shared" si="6"/>
        <v>Chimney O2 (%)</v>
      </c>
      <c r="J38" s="121" t="str">
        <f t="shared" si="6"/>
        <v>CO2 10" (ppm)</v>
      </c>
      <c r="K38" s="121" t="str">
        <f t="shared" si="6"/>
        <v>CO 10" (ppm)</v>
      </c>
      <c r="L38" s="121" t="str">
        <f t="shared" si="6"/>
        <v>CO 10" low (ppm)</v>
      </c>
      <c r="M38" s="121" t="str">
        <f t="shared" si="6"/>
        <v>THC 10" (ppm)</v>
      </c>
      <c r="N38" s="121" t="str">
        <f t="shared" si="6"/>
        <v>CH4 10" (ppm)</v>
      </c>
      <c r="O38" s="121" t="str">
        <f t="shared" si="6"/>
        <v>NOx 10" (ppm)</v>
      </c>
      <c r="P38" s="121" t="str">
        <f t="shared" si="6"/>
        <v>NO 10" (ppm)</v>
      </c>
      <c r="Q38" s="121" t="str">
        <f t="shared" si="6"/>
        <v>CO2 man (ppm)</v>
      </c>
      <c r="R38" s="121" t="str">
        <f t="shared" si="6"/>
        <v>AE33 BC7 (mg/m3)</v>
      </c>
      <c r="S38" s="121" t="str">
        <f t="shared" si="6"/>
        <v>AE33 BC6 (mg/m3)</v>
      </c>
      <c r="T38" s="121" t="str">
        <f t="shared" si="6"/>
        <v>AE33 BC5 (mg/m3)</v>
      </c>
      <c r="U38" s="121" t="str">
        <f t="shared" si="6"/>
        <v>AE33 BC4 (mg/m3)</v>
      </c>
      <c r="V38" s="121" t="str">
        <f t="shared" si="6"/>
        <v>AE33 BC3 (mg/m3)</v>
      </c>
      <c r="W38" s="121" t="str">
        <f t="shared" si="6"/>
        <v>AE33 BC2 (mg/m3)</v>
      </c>
      <c r="X38" s="121" t="str">
        <f t="shared" si="6"/>
        <v>AE33 BC1 (mg/m3)</v>
      </c>
      <c r="Y38" s="121" t="str">
        <f t="shared" si="6"/>
        <v>MA350 BCir (mg/m3)</v>
      </c>
      <c r="Z38" s="121" t="str">
        <f t="shared" si="6"/>
        <v>MA350 BCred (mg/m3)</v>
      </c>
      <c r="AA38" s="121" t="str">
        <f t="shared" si="6"/>
        <v>MA350 BCgreen (mg/m3)</v>
      </c>
      <c r="AB38" s="121" t="str">
        <f t="shared" si="6"/>
        <v>MA350 BCblue (mg/m3)</v>
      </c>
      <c r="AC38" s="121" t="str">
        <f t="shared" si="6"/>
        <v>MA350 BCuv (mg/m3)</v>
      </c>
      <c r="AD38" s="121" t="str">
        <f t="shared" si="6"/>
        <v>Babs 781 (Mm-1)</v>
      </c>
      <c r="AE38" s="121" t="str">
        <f t="shared" si="6"/>
        <v>Babs 532 (Mm-1)</v>
      </c>
      <c r="AF38" s="121" t="str">
        <f t="shared" si="6"/>
        <v>Babs 450 (Mm-1)</v>
      </c>
      <c r="AG38" s="121" t="str">
        <f t="shared" ref="AG38:AW38" si="7">AG1</f>
        <v>Bsca 781 (Mm-1)</v>
      </c>
      <c r="AH38" s="121" t="str">
        <f t="shared" si="7"/>
        <v>Bsca 532 (Mm-1)</v>
      </c>
      <c r="AI38" s="121" t="str">
        <f t="shared" si="7"/>
        <v>Bsca 405 (Mm-1)</v>
      </c>
      <c r="AJ38" s="121" t="str">
        <f t="shared" si="7"/>
        <v>EEPS (#/cm3)</v>
      </c>
      <c r="AK38" s="121" t="str">
        <f t="shared" si="7"/>
        <v>UFP</v>
      </c>
      <c r="AL38" s="160">
        <f t="shared" si="7"/>
        <v>6.04</v>
      </c>
      <c r="AM38" s="160">
        <f t="shared" si="7"/>
        <v>6.98</v>
      </c>
      <c r="AN38" s="160">
        <f t="shared" si="7"/>
        <v>8.06</v>
      </c>
      <c r="AO38" s="160">
        <f t="shared" si="7"/>
        <v>9.31</v>
      </c>
      <c r="AP38" s="160">
        <f t="shared" si="7"/>
        <v>10.8</v>
      </c>
      <c r="AQ38" s="160">
        <f t="shared" si="7"/>
        <v>12.4</v>
      </c>
      <c r="AR38" s="160">
        <f t="shared" si="7"/>
        <v>14.3</v>
      </c>
      <c r="AS38" s="160">
        <f t="shared" si="7"/>
        <v>16.5</v>
      </c>
      <c r="AT38" s="160">
        <f t="shared" si="7"/>
        <v>19.100000000000001</v>
      </c>
      <c r="AU38" s="160">
        <f t="shared" si="7"/>
        <v>22.1</v>
      </c>
      <c r="AV38" s="160">
        <f t="shared" si="7"/>
        <v>25.5</v>
      </c>
      <c r="AW38" s="160">
        <f t="shared" si="7"/>
        <v>29.4</v>
      </c>
      <c r="AX38" s="160">
        <f t="shared" ref="AX38:BQ38" si="8">AX1</f>
        <v>34</v>
      </c>
      <c r="AY38" s="160">
        <f t="shared" si="8"/>
        <v>39.200000000000003</v>
      </c>
      <c r="AZ38" s="160">
        <f t="shared" si="8"/>
        <v>45.3</v>
      </c>
      <c r="BA38" s="160">
        <f t="shared" si="8"/>
        <v>52.3</v>
      </c>
      <c r="BB38" s="160">
        <f t="shared" si="8"/>
        <v>60.4</v>
      </c>
      <c r="BC38" s="160">
        <f t="shared" si="8"/>
        <v>69.8</v>
      </c>
      <c r="BD38" s="160">
        <f t="shared" si="8"/>
        <v>80.599999999999994</v>
      </c>
      <c r="BE38" s="160">
        <f t="shared" si="8"/>
        <v>93.1</v>
      </c>
      <c r="BF38" s="160">
        <f t="shared" si="8"/>
        <v>107.5</v>
      </c>
      <c r="BG38" s="160">
        <f t="shared" si="8"/>
        <v>124.1</v>
      </c>
      <c r="BH38" s="160">
        <f t="shared" si="8"/>
        <v>143.30000000000001</v>
      </c>
      <c r="BI38" s="160">
        <f t="shared" si="8"/>
        <v>165.5</v>
      </c>
      <c r="BJ38" s="160">
        <f t="shared" si="8"/>
        <v>191.1</v>
      </c>
      <c r="BK38" s="160">
        <f t="shared" si="8"/>
        <v>220.7</v>
      </c>
      <c r="BL38" s="160">
        <f t="shared" si="8"/>
        <v>254.8</v>
      </c>
      <c r="BM38" s="160">
        <f t="shared" si="8"/>
        <v>294.3</v>
      </c>
      <c r="BN38" s="160">
        <f t="shared" si="8"/>
        <v>339.8</v>
      </c>
      <c r="BO38" s="160">
        <f t="shared" si="8"/>
        <v>392.4</v>
      </c>
      <c r="BP38" s="160">
        <f t="shared" si="8"/>
        <v>453.2</v>
      </c>
      <c r="BQ38" s="160">
        <f t="shared" si="8"/>
        <v>523.29999999999995</v>
      </c>
    </row>
    <row r="39" spans="1:69">
      <c r="A39" s="38" t="s">
        <v>494</v>
      </c>
      <c r="B39" s="3"/>
      <c r="C39" s="3"/>
      <c r="D39" s="3"/>
      <c r="E39" s="38"/>
      <c r="F39" s="38" t="s">
        <v>494</v>
      </c>
      <c r="G39" s="2">
        <f>AVERAGE(G2,G3,G5,G7,G9,G11,G13,G15,G17,G19,G21,G23,G25)</f>
        <v>5.9435430769230753E-2</v>
      </c>
      <c r="H39" s="2">
        <f t="shared" ref="H39:BM39" si="9">AVERAGE(H2,H3,H5,H7,H9,H11,H13,H15,H17,H19,H21,H23,H25)</f>
        <v>2.2417623076923078E-3</v>
      </c>
      <c r="I39" s="2">
        <f t="shared" si="9"/>
        <v>20.994230769230771</v>
      </c>
      <c r="J39" s="2">
        <f t="shared" si="9"/>
        <v>447.61307692307685</v>
      </c>
      <c r="K39" s="2">
        <f t="shared" si="9"/>
        <v>-6.0344361538461539</v>
      </c>
      <c r="L39" s="2">
        <f t="shared" si="9"/>
        <v>-0.19905509230769225</v>
      </c>
      <c r="M39" s="2">
        <f t="shared" si="9"/>
        <v>2.3770176923076924</v>
      </c>
      <c r="N39" s="2">
        <f t="shared" si="9"/>
        <v>1.8495554545454544</v>
      </c>
      <c r="O39" s="2">
        <f t="shared" si="9"/>
        <v>3.2552699999999997E-2</v>
      </c>
      <c r="P39" s="2">
        <f t="shared" si="9"/>
        <v>5.1989984615384614E-2</v>
      </c>
      <c r="Q39" s="2">
        <f t="shared" si="9"/>
        <v>35.323861538461536</v>
      </c>
      <c r="R39" s="2">
        <f t="shared" si="9"/>
        <v>0.18172749166666666</v>
      </c>
      <c r="S39" s="2">
        <f t="shared" si="9"/>
        <v>0.18129914166666672</v>
      </c>
      <c r="T39" s="2">
        <f t="shared" si="9"/>
        <v>0.10204534749999999</v>
      </c>
      <c r="U39" s="2">
        <f t="shared" si="9"/>
        <v>0.12699594166666667</v>
      </c>
      <c r="V39" s="2">
        <f t="shared" si="9"/>
        <v>6.0708402499999987E-2</v>
      </c>
      <c r="W39" s="2">
        <f t="shared" si="9"/>
        <v>6.9759469458333348E-2</v>
      </c>
      <c r="X39" s="2">
        <f t="shared" si="9"/>
        <v>0.12410831416666664</v>
      </c>
      <c r="Y39" s="2">
        <f t="shared" si="9"/>
        <v>0.40459566666666663</v>
      </c>
      <c r="Z39" s="2">
        <f t="shared" si="9"/>
        <v>-0.23105350000000002</v>
      </c>
      <c r="AA39" s="2">
        <f t="shared" si="9"/>
        <v>-0.25415034166666667</v>
      </c>
      <c r="AB39" s="2">
        <f t="shared" si="9"/>
        <v>-0.20781190000000002</v>
      </c>
      <c r="AC39" s="2">
        <f t="shared" si="9"/>
        <v>0.15305906666666666</v>
      </c>
      <c r="AD39" s="2">
        <f t="shared" si="9"/>
        <v>1.6432608333333334</v>
      </c>
      <c r="AE39" s="2">
        <f t="shared" si="9"/>
        <v>-2.8403814166666668</v>
      </c>
      <c r="AF39" s="2">
        <f t="shared" si="9"/>
        <v>19.619427545454549</v>
      </c>
      <c r="AG39" s="2">
        <f t="shared" si="9"/>
        <v>0.64217650000000004</v>
      </c>
      <c r="AH39" s="2">
        <f t="shared" si="9"/>
        <v>2.6213675833333334</v>
      </c>
      <c r="AI39" s="2">
        <f t="shared" si="9"/>
        <v>-2.4548469909090911</v>
      </c>
      <c r="AJ39" s="2">
        <f t="shared" si="9"/>
        <v>1648.148923076923</v>
      </c>
      <c r="AK39" s="2">
        <f t="shared" si="9"/>
        <v>1468.7917692307694</v>
      </c>
      <c r="AL39" s="2">
        <f t="shared" si="9"/>
        <v>1.791061476923077</v>
      </c>
      <c r="AM39" s="2">
        <f t="shared" si="9"/>
        <v>1.9091572307692306</v>
      </c>
      <c r="AN39" s="2">
        <f t="shared" si="9"/>
        <v>2.8957707692307695</v>
      </c>
      <c r="AO39" s="2">
        <f t="shared" si="9"/>
        <v>7.0156838461538467</v>
      </c>
      <c r="AP39" s="2">
        <f t="shared" si="9"/>
        <v>7.2578853846153839</v>
      </c>
      <c r="AQ39" s="2">
        <f t="shared" si="9"/>
        <v>3.0795046153846148</v>
      </c>
      <c r="AR39" s="2">
        <f t="shared" si="9"/>
        <v>2.0207938384615387</v>
      </c>
      <c r="AS39" s="2">
        <f t="shared" si="9"/>
        <v>2.3418494615384615</v>
      </c>
      <c r="AT39" s="2">
        <f t="shared" si="9"/>
        <v>2.3030194461538462</v>
      </c>
      <c r="AU39" s="2">
        <f t="shared" si="9"/>
        <v>1.9006669230769231</v>
      </c>
      <c r="AV39" s="2">
        <f t="shared" si="9"/>
        <v>1.8628415230769233</v>
      </c>
      <c r="AW39" s="2">
        <f t="shared" si="9"/>
        <v>1.7590501538461536</v>
      </c>
      <c r="AX39" s="2">
        <f t="shared" si="9"/>
        <v>1.7692015384615383</v>
      </c>
      <c r="AY39" s="2">
        <f t="shared" si="9"/>
        <v>1.6113563846153849</v>
      </c>
      <c r="AZ39" s="2">
        <f t="shared" si="9"/>
        <v>1.5581144384615384</v>
      </c>
      <c r="BA39" s="2">
        <f t="shared" si="9"/>
        <v>1.4791541384615388</v>
      </c>
      <c r="BB39" s="2">
        <f t="shared" si="9"/>
        <v>1.4134152623076923</v>
      </c>
      <c r="BC39" s="2">
        <f t="shared" si="9"/>
        <v>1.2753712538461539</v>
      </c>
      <c r="BD39" s="2">
        <f t="shared" si="9"/>
        <v>1.1357955384615386</v>
      </c>
      <c r="BE39" s="2">
        <f t="shared" si="9"/>
        <v>0.91321284615384646</v>
      </c>
      <c r="BF39" s="2">
        <f t="shared" si="9"/>
        <v>0.80158770769230769</v>
      </c>
      <c r="BG39" s="2">
        <f t="shared" si="9"/>
        <v>0.71905563846153853</v>
      </c>
      <c r="BH39" s="2">
        <f t="shared" si="9"/>
        <v>0.66821085307692318</v>
      </c>
      <c r="BI39" s="2">
        <f t="shared" si="9"/>
        <v>0.63124192307692306</v>
      </c>
      <c r="BJ39" s="2">
        <f t="shared" si="9"/>
        <v>0.56067069230769229</v>
      </c>
      <c r="BK39" s="2">
        <f t="shared" si="9"/>
        <v>0.43260949999999992</v>
      </c>
      <c r="BL39" s="2">
        <f t="shared" si="9"/>
        <v>0.32077736153846159</v>
      </c>
      <c r="BM39" s="2">
        <f t="shared" si="9"/>
        <v>0.21505282307692311</v>
      </c>
      <c r="BN39" s="2">
        <f t="shared" ref="BN39:BQ39" si="10">AVERAGE(BN2,BN3,BN5,BN7,BN9,BN11,BN13,BN15,BN17,BN19,BN21,BN23,BN25)</f>
        <v>0.1433852769230769</v>
      </c>
      <c r="BO39" s="2">
        <f t="shared" si="10"/>
        <v>0.10406302461538464</v>
      </c>
      <c r="BP39" s="2">
        <f t="shared" si="10"/>
        <v>7.9192968461538463E-2</v>
      </c>
      <c r="BQ39" s="2">
        <f t="shared" si="10"/>
        <v>6.3915976153846157E-2</v>
      </c>
    </row>
    <row r="40" spans="1:69">
      <c r="A40" s="38" t="s">
        <v>495</v>
      </c>
      <c r="B40" s="3"/>
      <c r="C40" s="3"/>
      <c r="D40" s="3"/>
      <c r="E40" s="38"/>
      <c r="F40" s="38" t="s">
        <v>495</v>
      </c>
      <c r="G40" s="2">
        <f>STDEV(G2,G3,G5,G7,G9,G11,G13,G15,G17,G19,G21,G23,G25)</f>
        <v>2.5591227668004576E-2</v>
      </c>
      <c r="H40" s="2">
        <f t="shared" ref="H40:BM40" si="11">STDEV(H2,H3,H5,H7,H9,H11,H13,H15,H17,H19,H21,H23,H25)</f>
        <v>9.1082642877390509E-3</v>
      </c>
      <c r="I40" s="2">
        <f t="shared" si="11"/>
        <v>0.16679017449385958</v>
      </c>
      <c r="J40" s="2">
        <f t="shared" si="11"/>
        <v>22.60668230288535</v>
      </c>
      <c r="K40" s="2">
        <f t="shared" si="11"/>
        <v>4.0651124294877308</v>
      </c>
      <c r="L40" s="2">
        <f t="shared" si="11"/>
        <v>0.46263951211165572</v>
      </c>
      <c r="M40" s="2">
        <f t="shared" si="11"/>
        <v>0.2432913118449378</v>
      </c>
      <c r="N40" s="2">
        <f t="shared" si="11"/>
        <v>7.4588558420663476E-2</v>
      </c>
      <c r="O40" s="2">
        <f t="shared" si="11"/>
        <v>1.0424788122467211E-2</v>
      </c>
      <c r="P40" s="2">
        <f t="shared" si="11"/>
        <v>1.1710411232520573E-2</v>
      </c>
      <c r="Q40" s="2">
        <f t="shared" si="11"/>
        <v>5.8493096884074776</v>
      </c>
      <c r="R40" s="2">
        <f t="shared" si="11"/>
        <v>0.53282687627285319</v>
      </c>
      <c r="S40" s="2">
        <f t="shared" si="11"/>
        <v>0.52945143242907289</v>
      </c>
      <c r="T40" s="2">
        <f t="shared" si="11"/>
        <v>0.15635461849433568</v>
      </c>
      <c r="U40" s="2">
        <f t="shared" si="11"/>
        <v>0.15964247794467293</v>
      </c>
      <c r="V40" s="2">
        <f t="shared" si="11"/>
        <v>0.10459475551206485</v>
      </c>
      <c r="W40" s="2">
        <f t="shared" si="11"/>
        <v>0.14919279141375447</v>
      </c>
      <c r="X40" s="2">
        <f t="shared" si="11"/>
        <v>0.31172770891413065</v>
      </c>
      <c r="Y40" s="2">
        <f t="shared" si="11"/>
        <v>0.18769018201151386</v>
      </c>
      <c r="Z40" s="2">
        <f t="shared" si="11"/>
        <v>0.18970159948848372</v>
      </c>
      <c r="AA40" s="2">
        <f t="shared" si="11"/>
        <v>0.30015030971678919</v>
      </c>
      <c r="AB40" s="2">
        <f t="shared" si="11"/>
        <v>0.20209550873447749</v>
      </c>
      <c r="AC40" s="2">
        <f t="shared" si="11"/>
        <v>0.11356243106464183</v>
      </c>
      <c r="AD40" s="2">
        <f t="shared" si="11"/>
        <v>2.296992749050923</v>
      </c>
      <c r="AE40" s="2">
        <f t="shared" si="11"/>
        <v>4.6683548204406398</v>
      </c>
      <c r="AF40" s="2">
        <f t="shared" si="11"/>
        <v>74.026563094225409</v>
      </c>
      <c r="AG40" s="2">
        <f t="shared" si="11"/>
        <v>4.2791486458020316</v>
      </c>
      <c r="AH40" s="2">
        <f t="shared" si="11"/>
        <v>8.3705926660914347</v>
      </c>
      <c r="AI40" s="2">
        <f t="shared" si="11"/>
        <v>13.665083278981738</v>
      </c>
      <c r="AJ40" s="2">
        <f t="shared" si="11"/>
        <v>933.61349961805831</v>
      </c>
      <c r="AK40" s="2">
        <f t="shared" si="11"/>
        <v>740.14149633714771</v>
      </c>
      <c r="AL40" s="2">
        <f t="shared" si="11"/>
        <v>1.4084594954260454</v>
      </c>
      <c r="AM40" s="2">
        <f t="shared" si="11"/>
        <v>1.5971958915953901</v>
      </c>
      <c r="AN40" s="2">
        <f t="shared" si="11"/>
        <v>1.4892310554861385</v>
      </c>
      <c r="AO40" s="2">
        <f t="shared" si="11"/>
        <v>3.2019600456713437</v>
      </c>
      <c r="AP40" s="2">
        <f t="shared" si="11"/>
        <v>3.7088919800092501</v>
      </c>
      <c r="AQ40" s="2">
        <f t="shared" si="11"/>
        <v>1.6196733551687481</v>
      </c>
      <c r="AR40" s="2">
        <f t="shared" si="11"/>
        <v>1.0838004287127185</v>
      </c>
      <c r="AS40" s="2">
        <f t="shared" si="11"/>
        <v>1.3210052039717461</v>
      </c>
      <c r="AT40" s="2">
        <f t="shared" si="11"/>
        <v>1.3568228092048915</v>
      </c>
      <c r="AU40" s="2">
        <f t="shared" si="11"/>
        <v>1.2684504424715388</v>
      </c>
      <c r="AV40" s="2">
        <f t="shared" si="11"/>
        <v>1.2593071582079798</v>
      </c>
      <c r="AW40" s="2">
        <f t="shared" si="11"/>
        <v>1.228150715685298</v>
      </c>
      <c r="AX40" s="2">
        <f t="shared" si="11"/>
        <v>1.3253220310621758</v>
      </c>
      <c r="AY40" s="2">
        <f t="shared" si="11"/>
        <v>1.6672227661673638</v>
      </c>
      <c r="AZ40" s="2">
        <f t="shared" si="11"/>
        <v>1.9434381174794324</v>
      </c>
      <c r="BA40" s="2">
        <f t="shared" si="11"/>
        <v>2.096833186288563</v>
      </c>
      <c r="BB40" s="2">
        <f t="shared" si="11"/>
        <v>2.0502500386500744</v>
      </c>
      <c r="BC40" s="2">
        <f t="shared" si="11"/>
        <v>1.8246419838590402</v>
      </c>
      <c r="BD40" s="2">
        <f t="shared" si="11"/>
        <v>1.5774488619802447</v>
      </c>
      <c r="BE40" s="2">
        <f t="shared" si="11"/>
        <v>1.3225468268044804</v>
      </c>
      <c r="BF40" s="2">
        <f t="shared" si="11"/>
        <v>1.1295386228374178</v>
      </c>
      <c r="BG40" s="2">
        <f t="shared" si="11"/>
        <v>1.0161036007237809</v>
      </c>
      <c r="BH40" s="2">
        <f t="shared" si="11"/>
        <v>0.92539900377663142</v>
      </c>
      <c r="BI40" s="2">
        <f t="shared" si="11"/>
        <v>0.8599933291793086</v>
      </c>
      <c r="BJ40" s="2">
        <f t="shared" si="11"/>
        <v>0.73896884742157021</v>
      </c>
      <c r="BK40" s="2">
        <f t="shared" si="11"/>
        <v>0.56467190154501523</v>
      </c>
      <c r="BL40" s="2">
        <f t="shared" si="11"/>
        <v>0.40760976144722366</v>
      </c>
      <c r="BM40" s="2">
        <f t="shared" si="11"/>
        <v>0.27030303333357836</v>
      </c>
      <c r="BN40" s="2">
        <f t="shared" ref="BN40:BQ40" si="12">STDEV(BN2,BN3,BN5,BN7,BN9,BN11,BN13,BN15,BN17,BN19,BN21,BN23,BN25)</f>
        <v>0.17623560235609864</v>
      </c>
      <c r="BO40" s="2">
        <f t="shared" si="12"/>
        <v>0.12611105240376091</v>
      </c>
      <c r="BP40" s="2">
        <f t="shared" si="12"/>
        <v>9.0343725218600346E-2</v>
      </c>
      <c r="BQ40" s="2">
        <f t="shared" si="12"/>
        <v>6.9287705664495242E-2</v>
      </c>
    </row>
    <row r="41" spans="1:69">
      <c r="A41" s="38" t="s">
        <v>496</v>
      </c>
      <c r="B41" s="3"/>
      <c r="C41" s="3"/>
      <c r="D41" s="3"/>
      <c r="E41" s="38"/>
      <c r="F41" s="38" t="s">
        <v>496</v>
      </c>
      <c r="G41" s="19">
        <f>ABS(G40/G39)</f>
        <v>0.43057192211439227</v>
      </c>
      <c r="H41" s="19">
        <f>ABS(H40/H39)</f>
        <v>4.0629928768474954</v>
      </c>
      <c r="I41" s="19">
        <f>ABS(I40/I39)</f>
        <v>7.9445718362926594E-3</v>
      </c>
      <c r="J41" s="19">
        <f t="shared" ref="J41:AZ41" si="13">ABS(J40/J39)</f>
        <v>5.0504963926177586E-2</v>
      </c>
      <c r="K41" s="19">
        <f t="shared" si="13"/>
        <v>0.67365240527016923</v>
      </c>
      <c r="L41" s="19">
        <f t="shared" si="13"/>
        <v>2.3241782299973721</v>
      </c>
      <c r="M41" s="19">
        <f t="shared" si="13"/>
        <v>0.10235149390442358</v>
      </c>
      <c r="N41" s="19">
        <f t="shared" si="13"/>
        <v>4.032783025637602E-2</v>
      </c>
      <c r="O41" s="19">
        <f t="shared" si="13"/>
        <v>0.32024342443076032</v>
      </c>
      <c r="P41" s="19">
        <f t="shared" si="13"/>
        <v>0.22524359872680721</v>
      </c>
      <c r="Q41" s="19">
        <f t="shared" si="13"/>
        <v>0.16559089051004794</v>
      </c>
      <c r="R41" s="19">
        <f t="shared" si="13"/>
        <v>2.9320102940186397</v>
      </c>
      <c r="S41" s="19">
        <f t="shared" si="13"/>
        <v>2.9203195754920483</v>
      </c>
      <c r="T41" s="19">
        <f t="shared" si="13"/>
        <v>1.532207222816657</v>
      </c>
      <c r="U41" s="19">
        <f t="shared" si="13"/>
        <v>1.2570675554632718</v>
      </c>
      <c r="V41" s="19">
        <f t="shared" si="13"/>
        <v>1.7229040990176749</v>
      </c>
      <c r="W41" s="19">
        <f t="shared" si="13"/>
        <v>2.1386743989339809</v>
      </c>
      <c r="X41" s="19">
        <f t="shared" si="13"/>
        <v>2.511739128899193</v>
      </c>
      <c r="Y41" s="19">
        <f t="shared" si="13"/>
        <v>0.46389568024253153</v>
      </c>
      <c r="Z41" s="19">
        <f t="shared" si="13"/>
        <v>0.82102889369121745</v>
      </c>
      <c r="AA41" s="19">
        <f t="shared" si="13"/>
        <v>1.1809951060795905</v>
      </c>
      <c r="AB41" s="19">
        <f t="shared" si="13"/>
        <v>0.97249247388853799</v>
      </c>
      <c r="AC41" s="19">
        <f t="shared" si="13"/>
        <v>0.74195167615884561</v>
      </c>
      <c r="AD41" s="19">
        <f t="shared" si="13"/>
        <v>1.3978260191302088</v>
      </c>
      <c r="AE41" s="19">
        <f t="shared" si="13"/>
        <v>1.6435661749678652</v>
      </c>
      <c r="AF41" s="19">
        <f t="shared" si="13"/>
        <v>3.7731255370585961</v>
      </c>
      <c r="AG41" s="19">
        <f t="shared" si="13"/>
        <v>6.6635086238783749</v>
      </c>
      <c r="AH41" s="19">
        <f t="shared" si="13"/>
        <v>3.1932159073422972</v>
      </c>
      <c r="AI41" s="19">
        <f t="shared" si="13"/>
        <v>5.5665723075967426</v>
      </c>
      <c r="AJ41" s="19">
        <f>ABS(AJ40/AJ39)</f>
        <v>0.56646185702387797</v>
      </c>
      <c r="AK41" s="19">
        <f t="shared" si="13"/>
        <v>0.50391179460705449</v>
      </c>
      <c r="AL41" s="19">
        <f t="shared" si="13"/>
        <v>0.78638255223136388</v>
      </c>
      <c r="AM41" s="19">
        <f t="shared" si="13"/>
        <v>0.8365973560762483</v>
      </c>
      <c r="AN41" s="19">
        <f t="shared" si="13"/>
        <v>0.51427795021279843</v>
      </c>
      <c r="AO41" s="19">
        <f t="shared" si="13"/>
        <v>0.45640027627908708</v>
      </c>
      <c r="AP41" s="19">
        <f t="shared" si="13"/>
        <v>0.51101550706091714</v>
      </c>
      <c r="AQ41" s="19">
        <f t="shared" si="13"/>
        <v>0.52595256622677899</v>
      </c>
      <c r="AR41" s="19">
        <f t="shared" si="13"/>
        <v>0.53632409604823039</v>
      </c>
      <c r="AS41" s="19">
        <f t="shared" si="13"/>
        <v>0.56408630258578663</v>
      </c>
      <c r="AT41" s="19">
        <f t="shared" si="13"/>
        <v>0.58914952345315674</v>
      </c>
      <c r="AU41" s="19">
        <f t="shared" si="13"/>
        <v>0.66737124062646858</v>
      </c>
      <c r="AV41" s="19">
        <f t="shared" si="13"/>
        <v>0.67601411210113904</v>
      </c>
      <c r="AW41" s="19">
        <f t="shared" si="13"/>
        <v>0.69818970937238667</v>
      </c>
      <c r="AX41" s="19">
        <f t="shared" si="13"/>
        <v>0.74910743759280751</v>
      </c>
      <c r="AY41" s="19">
        <f t="shared" si="13"/>
        <v>1.0346704069226211</v>
      </c>
      <c r="AZ41" s="19">
        <f t="shared" si="13"/>
        <v>1.2473012697310972</v>
      </c>
      <c r="BA41" s="19">
        <f t="shared" ref="BA41:BQ41" si="14">ABS(BA40/BA39)</f>
        <v>1.4175893720376358</v>
      </c>
      <c r="BB41" s="19">
        <f t="shared" si="14"/>
        <v>1.4505645250374739</v>
      </c>
      <c r="BC41" s="19">
        <f t="shared" si="14"/>
        <v>1.4306751687843389</v>
      </c>
      <c r="BD41" s="19">
        <f t="shared" si="14"/>
        <v>1.3888493206417554</v>
      </c>
      <c r="BE41" s="19">
        <f t="shared" si="14"/>
        <v>1.4482350225082956</v>
      </c>
      <c r="BF41" s="19">
        <f t="shared" si="14"/>
        <v>1.4091266769662032</v>
      </c>
      <c r="BG41" s="19">
        <f t="shared" si="14"/>
        <v>1.4131084527725752</v>
      </c>
      <c r="BH41" s="19">
        <f t="shared" si="14"/>
        <v>1.3848907115402707</v>
      </c>
      <c r="BI41" s="19">
        <f t="shared" si="14"/>
        <v>1.3623831018500174</v>
      </c>
      <c r="BJ41" s="19">
        <f t="shared" si="14"/>
        <v>1.3180086948722283</v>
      </c>
      <c r="BK41" s="19">
        <f t="shared" si="14"/>
        <v>1.3052693053319804</v>
      </c>
      <c r="BL41" s="19">
        <f t="shared" si="14"/>
        <v>1.2706936658257624</v>
      </c>
      <c r="BM41" s="19">
        <f t="shared" si="14"/>
        <v>1.2569146011019467</v>
      </c>
      <c r="BN41" s="19">
        <f t="shared" si="14"/>
        <v>1.2291052898732777</v>
      </c>
      <c r="BO41" s="19">
        <f t="shared" si="14"/>
        <v>1.2118718715880636</v>
      </c>
      <c r="BP41" s="19">
        <f t="shared" si="14"/>
        <v>1.1408048842426894</v>
      </c>
      <c r="BQ41" s="19">
        <f t="shared" si="14"/>
        <v>1.0840436121591774</v>
      </c>
    </row>
    <row r="42" spans="1:69">
      <c r="A42" s="4"/>
      <c r="B42" s="3"/>
      <c r="C42" s="3"/>
      <c r="D42" s="3"/>
      <c r="E42" s="38"/>
      <c r="F42" s="38"/>
      <c r="G42" s="9"/>
      <c r="H42" s="9"/>
      <c r="I42" s="9"/>
      <c r="J42" s="25"/>
      <c r="K42" s="9"/>
      <c r="L42" s="9"/>
      <c r="M42" s="9"/>
      <c r="N42" s="9"/>
      <c r="O42" s="2"/>
      <c r="P42" s="2"/>
      <c r="Q42" s="2"/>
      <c r="R42" s="2"/>
      <c r="S42" s="2"/>
      <c r="T42" s="2"/>
      <c r="U42" s="2"/>
      <c r="V42" s="2"/>
      <c r="W42" s="2"/>
      <c r="X42" s="2"/>
      <c r="Y42" s="2"/>
      <c r="Z42" s="2"/>
      <c r="AA42" s="2"/>
      <c r="AB42" s="2"/>
      <c r="AC42" s="2"/>
      <c r="AD42" s="2"/>
      <c r="AE42" s="2"/>
      <c r="AF42" s="2"/>
      <c r="AG42" s="2"/>
      <c r="AH42" s="2"/>
      <c r="AI42" s="2"/>
      <c r="AJ42" s="27"/>
      <c r="AK42" s="27"/>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row>
    <row r="43" spans="1:69">
      <c r="A43" s="4"/>
      <c r="B43" s="3"/>
      <c r="C43" s="3"/>
      <c r="D43" s="3"/>
      <c r="E43" s="38"/>
      <c r="F43" s="38"/>
      <c r="G43" s="9"/>
      <c r="H43" s="9"/>
      <c r="I43" s="9"/>
      <c r="J43" s="25"/>
      <c r="K43" s="9"/>
      <c r="L43" s="9"/>
      <c r="M43" s="9"/>
      <c r="N43" s="9"/>
      <c r="O43" s="2"/>
      <c r="P43" s="2"/>
      <c r="Q43" s="2"/>
      <c r="R43" s="2"/>
      <c r="S43" s="2"/>
      <c r="T43" s="2"/>
      <c r="U43" s="2"/>
      <c r="V43" s="2"/>
      <c r="W43" s="2"/>
      <c r="X43" s="2"/>
      <c r="Y43" s="2"/>
      <c r="Z43" s="2"/>
      <c r="AA43" s="2"/>
      <c r="AB43" s="2"/>
      <c r="AC43" s="2"/>
      <c r="AD43" s="2"/>
      <c r="AE43" s="2"/>
      <c r="AF43" s="2"/>
      <c r="AG43" s="2"/>
      <c r="AH43" s="2"/>
      <c r="AI43" s="2"/>
      <c r="AJ43" s="27"/>
      <c r="AK43" s="27"/>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row>
    <row r="44" spans="1:69">
      <c r="A44" s="4"/>
      <c r="B44" s="3"/>
      <c r="C44" s="3"/>
      <c r="D44" s="3"/>
      <c r="E44" s="38"/>
      <c r="F44" s="38"/>
      <c r="G44" s="9"/>
      <c r="H44" s="9"/>
      <c r="I44" s="9"/>
      <c r="J44" s="25"/>
      <c r="K44" s="9"/>
      <c r="L44" s="9"/>
      <c r="M44" s="9"/>
      <c r="N44" s="9"/>
      <c r="O44" s="2"/>
      <c r="P44" s="2"/>
      <c r="Q44" s="2"/>
      <c r="R44" s="2"/>
      <c r="S44" s="2"/>
      <c r="T44" s="2"/>
      <c r="U44" s="2"/>
      <c r="V44" s="2"/>
      <c r="W44" s="2"/>
      <c r="X44" s="2"/>
      <c r="Y44" s="2"/>
      <c r="Z44" s="2"/>
      <c r="AA44" s="2"/>
      <c r="AB44" s="2"/>
      <c r="AC44" s="2"/>
      <c r="AD44" s="2"/>
      <c r="AE44" s="2"/>
      <c r="AF44" s="2"/>
      <c r="AG44" s="2"/>
      <c r="AH44" s="2"/>
      <c r="AI44" s="2"/>
      <c r="AJ44" s="27"/>
      <c r="AK44" s="27"/>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row>
    <row r="45" spans="1:69">
      <c r="A45" s="4"/>
      <c r="B45" s="3"/>
      <c r="C45" s="3"/>
      <c r="D45" s="3" t="s">
        <v>497</v>
      </c>
      <c r="E45" s="38"/>
      <c r="F45" s="38"/>
      <c r="G45" s="9"/>
      <c r="H45" s="9"/>
      <c r="I45" s="9"/>
      <c r="J45" s="25"/>
      <c r="K45" s="9"/>
      <c r="L45" s="9"/>
      <c r="M45" s="9"/>
      <c r="N45" s="9"/>
      <c r="O45" s="2"/>
      <c r="P45" s="2"/>
      <c r="Q45" s="2"/>
      <c r="R45" s="2"/>
      <c r="S45" s="2"/>
      <c r="T45" s="2"/>
      <c r="U45" s="2"/>
      <c r="V45" s="2"/>
      <c r="W45" s="2"/>
      <c r="X45" s="2"/>
      <c r="Y45" s="2"/>
      <c r="Z45" s="2"/>
      <c r="AA45" s="2"/>
      <c r="AB45" s="2"/>
      <c r="AC45" s="2"/>
      <c r="AD45" s="2"/>
      <c r="AE45" s="2"/>
      <c r="AF45" s="2"/>
      <c r="AG45" s="2"/>
      <c r="AH45" s="2"/>
      <c r="AI45" s="2"/>
      <c r="AJ45" s="27"/>
      <c r="AK45" s="27"/>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row>
    <row r="46" spans="1:69">
      <c r="A46" s="4"/>
      <c r="B46" s="3"/>
      <c r="C46" s="3"/>
      <c r="D46" s="3"/>
      <c r="E46" s="38"/>
      <c r="F46" s="38"/>
      <c r="G46" s="9"/>
      <c r="H46" s="9"/>
      <c r="I46" s="9"/>
      <c r="J46" s="25"/>
      <c r="K46" s="9"/>
      <c r="L46" s="9"/>
      <c r="M46" s="9"/>
      <c r="N46" s="9"/>
      <c r="O46" s="2"/>
      <c r="P46" s="2"/>
      <c r="Q46" s="2"/>
      <c r="R46" s="2"/>
      <c r="S46" s="2"/>
      <c r="T46" s="2"/>
      <c r="U46" s="2"/>
      <c r="V46" s="2"/>
      <c r="W46" s="2"/>
      <c r="X46" s="2"/>
      <c r="Y46" s="2"/>
      <c r="Z46" s="2"/>
      <c r="AA46" s="2"/>
      <c r="AB46" s="2"/>
      <c r="AC46" s="2"/>
      <c r="AD46" s="2"/>
      <c r="AE46" s="2"/>
      <c r="AF46" s="2"/>
      <c r="AG46" s="2"/>
      <c r="AH46" s="2"/>
      <c r="AI46" s="2"/>
      <c r="AJ46" s="27"/>
      <c r="AK46" s="27"/>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row>
    <row r="47" spans="1:69">
      <c r="A47" s="4"/>
      <c r="B47" s="3"/>
      <c r="C47" s="3"/>
      <c r="D47" s="3"/>
      <c r="E47" s="38"/>
      <c r="F47" s="38"/>
      <c r="G47" s="9"/>
      <c r="H47" s="9"/>
      <c r="I47" s="9"/>
      <c r="J47" s="25"/>
      <c r="K47" s="9"/>
      <c r="L47" s="9"/>
      <c r="M47" s="9"/>
      <c r="N47" s="9"/>
      <c r="O47" s="2"/>
      <c r="P47" s="2"/>
      <c r="Q47" s="2"/>
      <c r="R47" s="2"/>
      <c r="S47" s="2"/>
      <c r="T47" s="2"/>
      <c r="U47" s="2"/>
      <c r="V47" s="2"/>
      <c r="W47" s="2"/>
      <c r="X47" s="2"/>
      <c r="Y47" s="2"/>
      <c r="Z47" s="2"/>
      <c r="AA47" s="2"/>
      <c r="AB47" s="2"/>
      <c r="AC47" s="2"/>
      <c r="AD47" s="2"/>
      <c r="AE47" s="2"/>
      <c r="AF47" s="2"/>
      <c r="AG47" s="2"/>
      <c r="AH47" s="2"/>
      <c r="AI47" s="2"/>
      <c r="AJ47" s="27"/>
      <c r="AK47" s="27"/>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row>
    <row r="48" spans="1:69">
      <c r="A48" s="4"/>
      <c r="B48" s="3"/>
      <c r="C48" s="3"/>
      <c r="D48" s="3"/>
      <c r="E48" s="38"/>
      <c r="F48" s="38"/>
      <c r="G48" s="9"/>
      <c r="H48" s="9"/>
      <c r="I48" s="9"/>
      <c r="J48" s="25"/>
      <c r="K48" s="9"/>
      <c r="L48" s="9"/>
      <c r="M48" s="9"/>
      <c r="N48" s="9"/>
      <c r="O48" s="2"/>
      <c r="P48" s="2"/>
      <c r="Q48" s="2"/>
      <c r="R48" s="2"/>
      <c r="S48" s="2"/>
      <c r="T48" s="2"/>
      <c r="U48" s="2"/>
      <c r="V48" s="2"/>
      <c r="W48" s="2"/>
      <c r="X48" s="2"/>
      <c r="Y48" s="2"/>
      <c r="Z48" s="2"/>
      <c r="AA48" s="2"/>
      <c r="AB48" s="2"/>
      <c r="AC48" s="2"/>
      <c r="AD48" s="2"/>
      <c r="AE48" s="2"/>
      <c r="AF48" s="2"/>
      <c r="AG48" s="2"/>
      <c r="AH48" s="2"/>
      <c r="AI48" s="2"/>
      <c r="AJ48" s="27"/>
      <c r="AK48" s="27"/>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row>
    <row r="49" spans="1:69">
      <c r="A49" s="4"/>
      <c r="B49" s="3"/>
      <c r="C49" s="3"/>
      <c r="D49" s="3"/>
      <c r="E49" s="38"/>
      <c r="F49" s="38"/>
      <c r="G49" s="9"/>
      <c r="H49" s="9"/>
      <c r="I49" s="9"/>
      <c r="J49" s="25"/>
      <c r="K49" s="9"/>
      <c r="L49" s="9"/>
      <c r="M49" s="9"/>
      <c r="N49" s="9"/>
      <c r="O49" s="2"/>
      <c r="P49" s="2"/>
      <c r="Q49" s="2"/>
      <c r="R49" s="2"/>
      <c r="S49" s="2"/>
      <c r="T49" s="2"/>
      <c r="U49" s="2"/>
      <c r="V49" s="2"/>
      <c r="W49" s="2"/>
      <c r="X49" s="2"/>
      <c r="Y49" s="2"/>
      <c r="Z49" s="2"/>
      <c r="AA49" s="2"/>
      <c r="AB49" s="2"/>
      <c r="AC49" s="2"/>
      <c r="AD49" s="2"/>
      <c r="AE49" s="2"/>
      <c r="AF49" s="2"/>
      <c r="AG49" s="2"/>
      <c r="AH49" s="2"/>
      <c r="AI49" s="2"/>
      <c r="AJ49" s="27"/>
      <c r="AK49" s="27"/>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row>
    <row r="50" spans="1:69">
      <c r="A50" s="4"/>
      <c r="B50" s="3"/>
      <c r="C50" s="3"/>
      <c r="D50" s="3"/>
      <c r="E50" s="38"/>
      <c r="F50" s="38"/>
      <c r="G50" s="9"/>
      <c r="H50" s="9"/>
      <c r="I50" s="9"/>
      <c r="J50" s="25"/>
      <c r="K50" s="9"/>
      <c r="L50" s="9"/>
      <c r="M50" s="9"/>
      <c r="N50" s="9"/>
      <c r="O50" s="2"/>
      <c r="P50" s="2"/>
      <c r="Q50" s="2"/>
      <c r="R50" s="2"/>
      <c r="S50" s="2"/>
      <c r="T50" s="2"/>
      <c r="U50" s="2"/>
      <c r="V50" s="2"/>
      <c r="W50" s="2"/>
      <c r="X50" s="2"/>
      <c r="Y50" s="2"/>
      <c r="Z50" s="2"/>
      <c r="AA50" s="2"/>
      <c r="AB50" s="2"/>
      <c r="AC50" s="2"/>
      <c r="AD50" s="2"/>
      <c r="AE50" s="2"/>
      <c r="AF50" s="2"/>
      <c r="AG50" s="2"/>
      <c r="AH50" s="2"/>
      <c r="AI50" s="2"/>
      <c r="AJ50" s="27"/>
      <c r="AK50" s="27"/>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row>
    <row r="51" spans="1:69">
      <c r="A51" s="4"/>
      <c r="B51" s="3"/>
      <c r="C51" s="3"/>
      <c r="D51" s="3"/>
      <c r="E51" s="38"/>
      <c r="F51" s="38"/>
      <c r="G51" s="9"/>
      <c r="H51" s="9"/>
      <c r="I51" s="9"/>
      <c r="J51" s="25"/>
      <c r="K51" s="9"/>
      <c r="L51" s="9"/>
      <c r="M51" s="9"/>
      <c r="N51" s="9"/>
      <c r="O51" s="2"/>
      <c r="P51" s="2"/>
      <c r="Q51" s="2"/>
      <c r="R51" s="2"/>
      <c r="S51" s="2"/>
      <c r="T51" s="2"/>
      <c r="U51" s="2"/>
      <c r="V51" s="2"/>
      <c r="W51" s="2"/>
      <c r="X51" s="2"/>
      <c r="Y51" s="2"/>
      <c r="Z51" s="2"/>
      <c r="AA51" s="2"/>
      <c r="AB51" s="2"/>
      <c r="AC51" s="2"/>
      <c r="AD51" s="2"/>
      <c r="AE51" s="2"/>
      <c r="AF51" s="2"/>
      <c r="AG51" s="2"/>
      <c r="AH51" s="2"/>
      <c r="AI51" s="2"/>
      <c r="AJ51" s="27"/>
      <c r="AK51" s="27"/>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row>
    <row r="52" spans="1:69">
      <c r="A52" s="4"/>
      <c r="B52" s="3"/>
      <c r="C52" s="3"/>
      <c r="D52" s="3"/>
      <c r="E52" s="38"/>
      <c r="F52" s="38"/>
      <c r="G52" s="9"/>
      <c r="H52" s="9"/>
      <c r="I52" s="9"/>
      <c r="J52" s="25"/>
      <c r="K52" s="9"/>
      <c r="L52" s="9"/>
      <c r="M52" s="9"/>
      <c r="N52" s="9"/>
      <c r="O52" s="2"/>
      <c r="P52" s="2"/>
      <c r="Q52" s="2"/>
      <c r="R52" s="2"/>
      <c r="S52" s="2"/>
      <c r="T52" s="2"/>
      <c r="U52" s="2"/>
      <c r="V52" s="2"/>
      <c r="W52" s="2"/>
      <c r="X52" s="2"/>
      <c r="Y52" s="2"/>
      <c r="Z52" s="2"/>
      <c r="AA52" s="2"/>
      <c r="AB52" s="2"/>
      <c r="AC52" s="2"/>
      <c r="AD52" s="2"/>
      <c r="AE52" s="2"/>
      <c r="AF52" s="2"/>
      <c r="AG52" s="2"/>
      <c r="AH52" s="2"/>
      <c r="AI52" s="2"/>
      <c r="AJ52" s="27"/>
      <c r="AK52" s="27"/>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row>
    <row r="53" spans="1:69">
      <c r="A53" s="4"/>
      <c r="B53" s="3"/>
      <c r="C53" s="3"/>
      <c r="D53" s="3"/>
      <c r="E53" s="38"/>
      <c r="F53" s="38"/>
      <c r="G53" s="9"/>
      <c r="H53" s="9"/>
      <c r="I53" s="9"/>
      <c r="J53" s="25"/>
      <c r="K53" s="9"/>
      <c r="L53" s="9"/>
      <c r="M53" s="9"/>
      <c r="N53" s="9"/>
      <c r="O53" s="2"/>
      <c r="P53" s="2"/>
      <c r="Q53" s="2"/>
      <c r="R53" s="2"/>
      <c r="S53" s="2"/>
      <c r="T53" s="2"/>
      <c r="U53" s="2"/>
      <c r="V53" s="2"/>
      <c r="W53" s="2"/>
      <c r="X53" s="2"/>
      <c r="Y53" s="2"/>
      <c r="Z53" s="2"/>
      <c r="AA53" s="2"/>
      <c r="AB53" s="2"/>
      <c r="AC53" s="2"/>
      <c r="AD53" s="2"/>
      <c r="AE53" s="2"/>
      <c r="AF53" s="2"/>
      <c r="AG53" s="2"/>
      <c r="AH53" s="2"/>
      <c r="AI53" s="2"/>
      <c r="AJ53" s="27"/>
      <c r="AK53" s="27"/>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row>
    <row r="54" spans="1:69">
      <c r="A54" s="4"/>
      <c r="B54" s="3"/>
      <c r="C54" s="3"/>
      <c r="D54" s="3"/>
      <c r="E54" s="38"/>
      <c r="F54" s="38"/>
      <c r="G54" s="9"/>
      <c r="H54" s="9"/>
      <c r="I54" s="9"/>
      <c r="J54" s="25"/>
      <c r="K54" s="9"/>
      <c r="L54" s="9"/>
      <c r="M54" s="9"/>
      <c r="N54" s="9"/>
      <c r="O54" s="2"/>
      <c r="P54" s="2"/>
      <c r="Q54" s="2"/>
      <c r="R54" s="2"/>
      <c r="S54" s="2"/>
      <c r="T54" s="2"/>
      <c r="U54" s="2"/>
      <c r="V54" s="2"/>
      <c r="W54" s="2"/>
      <c r="X54" s="2"/>
      <c r="Y54" s="2"/>
      <c r="Z54" s="2"/>
      <c r="AA54" s="2"/>
      <c r="AB54" s="2"/>
      <c r="AC54" s="2"/>
      <c r="AD54" s="2"/>
      <c r="AE54" s="2"/>
      <c r="AF54" s="2"/>
      <c r="AG54" s="2"/>
      <c r="AH54" s="2"/>
      <c r="AI54" s="2"/>
      <c r="AJ54" s="27"/>
      <c r="AK54" s="27"/>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row>
    <row r="55" spans="1:69">
      <c r="A55" s="4"/>
      <c r="B55" s="3"/>
      <c r="C55" s="3"/>
      <c r="D55" s="3"/>
      <c r="E55" s="38"/>
      <c r="F55" s="38"/>
      <c r="G55" s="9"/>
      <c r="H55" s="9"/>
      <c r="I55" s="9"/>
      <c r="J55" s="25"/>
      <c r="K55" s="9"/>
      <c r="L55" s="9"/>
      <c r="M55" s="9"/>
      <c r="N55" s="9"/>
      <c r="O55" s="2"/>
      <c r="P55" s="2"/>
      <c r="Q55" s="2"/>
      <c r="R55" s="2"/>
      <c r="S55" s="2"/>
      <c r="T55" s="2"/>
      <c r="U55" s="2"/>
      <c r="V55" s="2"/>
      <c r="W55" s="2"/>
      <c r="X55" s="2"/>
      <c r="Y55" s="2"/>
      <c r="Z55" s="2"/>
      <c r="AA55" s="2"/>
      <c r="AB55" s="2"/>
      <c r="AC55" s="2"/>
      <c r="AD55" s="2"/>
      <c r="AE55" s="2"/>
      <c r="AF55" s="2"/>
      <c r="AG55" s="2"/>
      <c r="AH55" s="2"/>
      <c r="AI55" s="2"/>
      <c r="AJ55" s="27"/>
      <c r="AK55" s="27"/>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row>
    <row r="56" spans="1:69">
      <c r="A56" s="4"/>
      <c r="B56" s="3"/>
      <c r="C56" s="3"/>
      <c r="D56" s="3"/>
      <c r="E56" s="38"/>
      <c r="F56" s="38"/>
      <c r="G56" s="9"/>
      <c r="H56" s="9"/>
      <c r="I56" s="9"/>
      <c r="J56" s="25"/>
      <c r="K56" s="9"/>
      <c r="L56" s="9"/>
      <c r="M56" s="9"/>
      <c r="N56" s="9"/>
      <c r="O56" s="2"/>
      <c r="P56" s="2"/>
      <c r="Q56" s="2"/>
      <c r="R56" s="43"/>
      <c r="S56" s="43"/>
      <c r="T56" s="43"/>
      <c r="U56" s="43"/>
      <c r="V56" s="43"/>
      <c r="W56" s="43"/>
      <c r="X56" s="43"/>
      <c r="Y56" s="2"/>
      <c r="Z56" s="2"/>
      <c r="AA56" s="2"/>
      <c r="AB56" s="2"/>
      <c r="AC56" s="2"/>
      <c r="AD56" s="2"/>
      <c r="AE56" s="2"/>
      <c r="AF56" s="2"/>
      <c r="AG56" s="2"/>
      <c r="AH56" s="2"/>
      <c r="AI56" s="2"/>
      <c r="AJ56" s="27"/>
      <c r="AK56" s="27"/>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row>
    <row r="57" spans="1:69">
      <c r="A57" s="4"/>
      <c r="B57" s="3"/>
      <c r="C57" s="3"/>
      <c r="D57" s="3"/>
      <c r="E57" s="38"/>
      <c r="F57" s="38"/>
      <c r="G57" s="9"/>
      <c r="H57" s="9"/>
      <c r="I57" s="9"/>
      <c r="J57" s="25"/>
      <c r="K57" s="9"/>
      <c r="L57" s="9"/>
      <c r="M57" s="9"/>
      <c r="N57" s="9"/>
      <c r="O57" s="2"/>
      <c r="P57" s="2"/>
      <c r="Q57" s="2"/>
      <c r="R57" s="43"/>
      <c r="S57" s="43"/>
      <c r="T57" s="43"/>
      <c r="U57" s="43"/>
      <c r="V57" s="43"/>
      <c r="W57" s="43"/>
      <c r="X57" s="43"/>
      <c r="Y57" s="2"/>
      <c r="Z57" s="2"/>
      <c r="AA57" s="2"/>
      <c r="AB57" s="2"/>
      <c r="AC57" s="2"/>
      <c r="AD57" s="2"/>
      <c r="AE57" s="2"/>
      <c r="AF57" s="2"/>
      <c r="AG57" s="2"/>
      <c r="AH57" s="2"/>
      <c r="AI57" s="2"/>
      <c r="AJ57" s="27"/>
      <c r="AK57" s="27"/>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row>
    <row r="58" spans="1:69" s="47" customFormat="1">
      <c r="A58" s="45"/>
      <c r="B58" s="46"/>
      <c r="C58" s="46"/>
      <c r="D58" s="46"/>
      <c r="E58" s="39"/>
      <c r="F58" s="39"/>
      <c r="G58" s="31"/>
      <c r="H58" s="31"/>
      <c r="I58" s="31"/>
      <c r="J58" s="32"/>
      <c r="K58" s="28"/>
      <c r="L58" s="28"/>
      <c r="M58" s="31"/>
      <c r="N58" s="31"/>
      <c r="O58" s="33"/>
      <c r="P58" s="33"/>
      <c r="Q58" s="33"/>
      <c r="R58" s="35"/>
      <c r="S58" s="35"/>
      <c r="T58" s="35"/>
      <c r="U58" s="35"/>
      <c r="V58" s="35"/>
      <c r="W58" s="35"/>
      <c r="X58" s="35"/>
      <c r="Y58" s="33"/>
      <c r="Z58" s="33"/>
      <c r="AA58" s="33"/>
      <c r="AB58" s="33"/>
      <c r="AC58" s="33"/>
      <c r="AD58" s="33"/>
      <c r="AE58" s="33"/>
      <c r="AF58" s="33"/>
      <c r="AG58" s="33"/>
      <c r="AH58" s="33"/>
      <c r="AI58" s="33"/>
      <c r="AJ58" s="34"/>
      <c r="AK58" s="34"/>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row>
  </sheetData>
  <conditionalFormatting sqref="G35:M35 Z35:BQ35 O35:X35">
    <cfRule type="colorScale" priority="1">
      <colorScale>
        <cfvo type="num" val="-1"/>
        <cfvo type="num" val="0"/>
        <cfvo type="num" val="1"/>
        <color theme="6"/>
        <color theme="0"/>
        <color theme="4" tint="-0.249977111117893"/>
      </colorScale>
    </cfRule>
  </conditionalFormatting>
  <conditionalFormatting sqref="G41:BQ41">
    <cfRule type="colorScale" priority="893">
      <colorScale>
        <cfvo type="percent" val="0"/>
        <cfvo type="percent" val="100"/>
        <color theme="5" tint="0.79998168889431442"/>
        <color theme="9"/>
      </colorScale>
    </cfRule>
  </conditionalFormatting>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L104"/>
  <sheetViews>
    <sheetView zoomScaleNormal="100" workbookViewId="0">
      <pane xSplit="4" ySplit="1" topLeftCell="H2" activePane="bottomRight" state="frozenSplit"/>
      <selection pane="topRight" activeCell="A7" sqref="A7"/>
      <selection pane="bottomLeft" activeCell="A7" sqref="A7"/>
      <selection pane="bottomRight" activeCell="A7" sqref="A7"/>
    </sheetView>
  </sheetViews>
  <sheetFormatPr defaultRowHeight="15"/>
  <cols>
    <col min="1" max="1" width="10.140625" bestFit="1" customWidth="1"/>
    <col min="2" max="3" width="21.140625" customWidth="1"/>
    <col min="4" max="4" width="12.7109375" bestFit="1" customWidth="1"/>
    <col min="5" max="6" width="15.85546875" bestFit="1" customWidth="1"/>
    <col min="7" max="7" width="11.85546875" style="6" customWidth="1"/>
    <col min="9" max="9" width="13.5703125" customWidth="1"/>
    <col min="11" max="11" width="13.5703125" customWidth="1"/>
    <col min="12" max="12" width="13.85546875" bestFit="1" customWidth="1"/>
    <col min="21" max="21" width="10.85546875" customWidth="1"/>
    <col min="22" max="22" width="10.28515625" customWidth="1"/>
    <col min="23" max="24" width="12.140625" customWidth="1"/>
    <col min="25" max="25" width="16.5703125" bestFit="1" customWidth="1"/>
    <col min="26" max="27" width="20.42578125" bestFit="1" customWidth="1"/>
    <col min="28" max="28" width="12.5703125" bestFit="1" customWidth="1"/>
    <col min="29" max="29" width="13.7109375" bestFit="1" customWidth="1"/>
    <col min="37" max="37" width="11.140625" bestFit="1" customWidth="1"/>
  </cols>
  <sheetData>
    <row r="1" spans="1:29" s="7" customFormat="1" ht="32.25" customHeight="1">
      <c r="A1" s="8" t="s">
        <v>498</v>
      </c>
      <c r="B1" s="8" t="s">
        <v>21</v>
      </c>
      <c r="C1" s="8" t="s">
        <v>23</v>
      </c>
      <c r="D1" s="8" t="s">
        <v>25</v>
      </c>
      <c r="E1" s="8" t="s">
        <v>27</v>
      </c>
      <c r="F1" s="8" t="s">
        <v>29</v>
      </c>
      <c r="G1" s="10" t="s">
        <v>35</v>
      </c>
      <c r="H1" s="8" t="s">
        <v>38</v>
      </c>
      <c r="I1" s="8" t="s">
        <v>41</v>
      </c>
      <c r="J1" s="8" t="s">
        <v>44</v>
      </c>
      <c r="K1" s="8" t="s">
        <v>47</v>
      </c>
      <c r="L1" s="8" t="s">
        <v>49</v>
      </c>
      <c r="M1" s="8" t="s">
        <v>499</v>
      </c>
      <c r="N1" s="8" t="s">
        <v>54</v>
      </c>
      <c r="O1" s="8" t="s">
        <v>56</v>
      </c>
      <c r="P1" s="8" t="s">
        <v>59</v>
      </c>
      <c r="Q1" s="8" t="s">
        <v>62</v>
      </c>
      <c r="R1" s="8" t="s">
        <v>65</v>
      </c>
      <c r="S1" s="8" t="s">
        <v>67</v>
      </c>
      <c r="T1" s="8" t="s">
        <v>69</v>
      </c>
      <c r="U1" s="8" t="s">
        <v>71</v>
      </c>
      <c r="V1" s="8" t="s">
        <v>73</v>
      </c>
      <c r="W1" s="8" t="s">
        <v>75</v>
      </c>
      <c r="X1" s="8"/>
    </row>
    <row r="2" spans="1:29" s="101" customFormat="1">
      <c r="A2" s="70">
        <f>IF(ISBLANK('Phase CEMS PM Concentrations'!A2),"",'Phase CEMS PM Concentrations'!A2)</f>
        <v>44301</v>
      </c>
      <c r="B2" s="70" t="str">
        <f>IF(ISBLANK('Phase CEMS PM Concentrations'!B2),"",'Phase CEMS PM Concentrations'!B2)</f>
        <v>BK Princess</v>
      </c>
      <c r="C2" s="70" t="str">
        <f>IF(ISBLANK('Phase CEMS PM Concentrations'!C2),"",'Phase CEMS PM Concentrations'!C2)</f>
        <v>None</v>
      </c>
      <c r="D2" s="70" t="str">
        <f>IF(ISBLANK('Phase CEMS PM Concentrations'!D2),"",'Phase CEMS PM Concentrations'!D2)</f>
        <v>Background</v>
      </c>
      <c r="E2" s="127">
        <v>44301.404166666667</v>
      </c>
      <c r="F2" s="127">
        <v>44301.571875000001</v>
      </c>
      <c r="G2" s="149">
        <v>241.5</v>
      </c>
      <c r="H2" s="74"/>
      <c r="I2" s="74"/>
      <c r="J2" s="74"/>
      <c r="K2" s="74"/>
      <c r="L2" s="150">
        <v>25.8172</v>
      </c>
      <c r="M2" s="150">
        <v>27.898599999999998</v>
      </c>
      <c r="N2" s="150">
        <v>34.494599999999998</v>
      </c>
      <c r="O2" s="151">
        <v>990.67399999999998</v>
      </c>
      <c r="P2" s="151">
        <v>1400.13</v>
      </c>
      <c r="Q2" s="152">
        <v>7.3650900000000004</v>
      </c>
      <c r="R2" s="152">
        <v>27.560700000000001</v>
      </c>
      <c r="S2" s="152">
        <v>34.979799999999997</v>
      </c>
      <c r="T2" s="151">
        <v>985.34900000000005</v>
      </c>
      <c r="U2" s="151">
        <v>2245.34</v>
      </c>
      <c r="V2" s="152">
        <v>33.403399999999998</v>
      </c>
      <c r="W2" s="73">
        <v>24.83</v>
      </c>
      <c r="AA2" s="153"/>
      <c r="AB2" s="154"/>
      <c r="AC2" s="154"/>
    </row>
    <row r="3" spans="1:29">
      <c r="A3" s="20">
        <f>IF(ISBLANK('Phase CEMS PM Concentrations'!A3),"",'Phase CEMS PM Concentrations'!A3)</f>
        <v>44308</v>
      </c>
      <c r="B3" s="20" t="str">
        <f>IF(ISBLANK('Phase CEMS PM Concentrations'!B3),"",'Phase CEMS PM Concentrations'!B3)</f>
        <v>BK Princess</v>
      </c>
      <c r="C3" s="20" t="str">
        <f>IF(ISBLANK('Phase CEMS PM Concentrations'!C3),"",'Phase CEMS PM Concentrations'!C3)</f>
        <v>Wet spruce</v>
      </c>
      <c r="D3" s="20" t="str">
        <f>IF(ISBLANK('Phase CEMS PM Concentrations'!D3),"",'Phase CEMS PM Concentrations'!D3)</f>
        <v>Startup</v>
      </c>
      <c r="E3" s="22">
        <v>44308.381249999999</v>
      </c>
      <c r="F3" s="22">
        <v>44308.405555555553</v>
      </c>
      <c r="G3" s="11">
        <v>35</v>
      </c>
      <c r="H3" s="3">
        <v>3.2823000000000002</v>
      </c>
      <c r="I3" s="5">
        <f t="shared" ref="I3:I4" si="0">H3/G3*60</f>
        <v>5.6268000000000002</v>
      </c>
      <c r="J3" s="107">
        <v>0.17299999999999999</v>
      </c>
      <c r="K3" s="5">
        <f t="shared" ref="K3:K4" si="1">(H3 - J3*H3)/G3*60</f>
        <v>4.6533636000000005</v>
      </c>
      <c r="L3" s="26">
        <v>216.45500000000001</v>
      </c>
      <c r="M3" s="26">
        <v>47.140799999999999</v>
      </c>
      <c r="N3" s="26">
        <v>18.322399999999998</v>
      </c>
      <c r="O3" s="108">
        <v>1002.64</v>
      </c>
      <c r="P3" s="108">
        <v>1423.37</v>
      </c>
      <c r="Q3" s="5">
        <v>7.4873399999999997</v>
      </c>
      <c r="R3" s="5">
        <v>26.032399999999999</v>
      </c>
      <c r="S3" s="5">
        <v>21.4924</v>
      </c>
      <c r="T3" s="108">
        <v>996.67399999999998</v>
      </c>
      <c r="U3" s="108">
        <v>2241.06</v>
      </c>
      <c r="V3" s="5">
        <v>33.339799999999997</v>
      </c>
      <c r="W3" s="9">
        <v>19.563199999999998</v>
      </c>
      <c r="Y3" s="122"/>
      <c r="AA3" s="122"/>
      <c r="AB3" s="123"/>
      <c r="AC3" s="123"/>
    </row>
    <row r="4" spans="1:29">
      <c r="A4" s="20">
        <f>IF(ISBLANK('Phase CEMS PM Concentrations'!A4),"",'Phase CEMS PM Concentrations'!A4)</f>
        <v>44308</v>
      </c>
      <c r="B4" s="20" t="str">
        <f>IF(ISBLANK('Phase CEMS PM Concentrations'!B4),"",'Phase CEMS PM Concentrations'!B4)</f>
        <v>BK Princess</v>
      </c>
      <c r="C4" s="20" t="str">
        <f>IF(ISBLANK('Phase CEMS PM Concentrations'!C4),"",'Phase CEMS PM Concentrations'!C4)</f>
        <v>Wet spruce</v>
      </c>
      <c r="D4" s="20" t="str">
        <f>IF(ISBLANK('Phase CEMS PM Concentrations'!D4),"",'Phase CEMS PM Concentrations'!D4)</f>
        <v>High</v>
      </c>
      <c r="E4" s="22">
        <v>44308.406944444447</v>
      </c>
      <c r="F4" s="22">
        <v>44308.557638888888</v>
      </c>
      <c r="G4" s="11">
        <v>217</v>
      </c>
      <c r="H4" s="3">
        <v>11.720499999999999</v>
      </c>
      <c r="I4" s="5">
        <f t="shared" si="0"/>
        <v>3.2406912442396312</v>
      </c>
      <c r="J4" s="107">
        <v>0.19</v>
      </c>
      <c r="K4" s="5">
        <f t="shared" si="1"/>
        <v>2.6249599078341008</v>
      </c>
      <c r="L4" s="26">
        <v>191.06899999999999</v>
      </c>
      <c r="M4" s="26">
        <v>36.833399999999997</v>
      </c>
      <c r="N4" s="26">
        <v>15.525399999999999</v>
      </c>
      <c r="O4" s="108">
        <v>1002.52</v>
      </c>
      <c r="P4" s="108">
        <v>1424.8</v>
      </c>
      <c r="Q4" s="5">
        <v>7.4948800000000002</v>
      </c>
      <c r="R4" s="5">
        <v>25.4498</v>
      </c>
      <c r="S4" s="5">
        <v>18.856300000000001</v>
      </c>
      <c r="T4" s="108">
        <v>996.34400000000005</v>
      </c>
      <c r="U4" s="108">
        <v>2241.58</v>
      </c>
      <c r="V4" s="5">
        <v>33.3476</v>
      </c>
      <c r="W4" s="9">
        <v>21.027100000000001</v>
      </c>
      <c r="Y4" s="122"/>
      <c r="AA4" s="122"/>
      <c r="AB4" s="123"/>
      <c r="AC4" s="123"/>
    </row>
    <row r="5" spans="1:29">
      <c r="A5" s="20">
        <f>IF(ISBLANK('Phase CEMS PM Concentrations'!A5),"",'Phase CEMS PM Concentrations'!A5)</f>
        <v>44312</v>
      </c>
      <c r="B5" s="20" t="str">
        <f>IF(ISBLANK('Phase CEMS PM Concentrations'!B5),"",'Phase CEMS PM Concentrations'!B5)</f>
        <v>BK Princess</v>
      </c>
      <c r="C5" s="20" t="str">
        <f>IF(ISBLANK('Phase CEMS PM Concentrations'!C5),"",'Phase CEMS PM Concentrations'!C5)</f>
        <v>Wet spruce</v>
      </c>
      <c r="D5" s="20" t="str">
        <f>IF(ISBLANK('Phase CEMS PM Concentrations'!D5),"",'Phase CEMS PM Concentrations'!D5)</f>
        <v>Startup</v>
      </c>
      <c r="E5" s="22">
        <v>44312.376388888886</v>
      </c>
      <c r="F5" s="22">
        <v>44312.395833333336</v>
      </c>
      <c r="G5" s="11">
        <v>28</v>
      </c>
      <c r="H5" s="3">
        <v>2.6320999999999999</v>
      </c>
      <c r="I5" s="5">
        <f t="shared" ref="I5:I6" si="2">H5/G5*60</f>
        <v>5.6402142857142854</v>
      </c>
      <c r="J5" s="107">
        <v>0.20899999999999999</v>
      </c>
      <c r="K5" s="5">
        <f t="shared" ref="K5:K6" si="3">(H5 - J5*H5)/G5*60</f>
        <v>4.4614094999999994</v>
      </c>
      <c r="L5" s="26">
        <v>230.11</v>
      </c>
      <c r="M5" s="26">
        <v>52.467799999999997</v>
      </c>
      <c r="N5" s="26">
        <v>39.997999999999998</v>
      </c>
      <c r="O5" s="108">
        <v>1001.71</v>
      </c>
      <c r="P5" s="108">
        <v>1361.9</v>
      </c>
      <c r="Q5" s="5">
        <v>7.1640100000000002</v>
      </c>
      <c r="R5" s="5">
        <v>26.9131</v>
      </c>
      <c r="S5" s="5">
        <v>36.492699999999999</v>
      </c>
      <c r="T5" s="108">
        <v>995.52700000000004</v>
      </c>
      <c r="U5" s="108">
        <v>2218.2600000000002</v>
      </c>
      <c r="V5" s="5">
        <v>33.000599999999999</v>
      </c>
      <c r="W5" s="9">
        <v>20.081399999999999</v>
      </c>
      <c r="Y5" s="122"/>
      <c r="AA5" s="122"/>
      <c r="AB5" s="123"/>
      <c r="AC5" s="123"/>
    </row>
    <row r="6" spans="1:29">
      <c r="A6" s="20">
        <f>IF(ISBLANK('Phase CEMS PM Concentrations'!A6),"",'Phase CEMS PM Concentrations'!A6)</f>
        <v>44312</v>
      </c>
      <c r="B6" s="20" t="str">
        <f>IF(ISBLANK('Phase CEMS PM Concentrations'!B6),"",'Phase CEMS PM Concentrations'!B6)</f>
        <v>BK Princess</v>
      </c>
      <c r="C6" s="20" t="str">
        <f>IF(ISBLANK('Phase CEMS PM Concentrations'!C6),"",'Phase CEMS PM Concentrations'!C6)</f>
        <v>Wet spruce</v>
      </c>
      <c r="D6" s="20" t="str">
        <f>IF(ISBLANK('Phase CEMS PM Concentrations'!D6),"",'Phase CEMS PM Concentrations'!D6)</f>
        <v>High</v>
      </c>
      <c r="E6" s="22">
        <v>44312.397222222222</v>
      </c>
      <c r="F6" s="22">
        <v>44312.567361111112</v>
      </c>
      <c r="G6" s="11">
        <v>245</v>
      </c>
      <c r="H6" s="3">
        <v>11.9336</v>
      </c>
      <c r="I6" s="5">
        <f t="shared" si="2"/>
        <v>2.9225142857142856</v>
      </c>
      <c r="J6" s="107">
        <v>0.16200000000000001</v>
      </c>
      <c r="K6" s="5">
        <f t="shared" si="3"/>
        <v>2.4490669714285715</v>
      </c>
      <c r="L6" s="26">
        <v>180.39699999999999</v>
      </c>
      <c r="M6" s="26">
        <v>36.680399999999999</v>
      </c>
      <c r="N6" s="26">
        <v>31.1235</v>
      </c>
      <c r="O6" s="108">
        <v>1001.95</v>
      </c>
      <c r="P6" s="108">
        <v>1433.87</v>
      </c>
      <c r="Q6" s="5">
        <v>7.5426000000000002</v>
      </c>
      <c r="R6" s="5">
        <v>25.328900000000001</v>
      </c>
      <c r="S6" s="5">
        <v>31.882999999999999</v>
      </c>
      <c r="T6" s="108">
        <v>996.17700000000002</v>
      </c>
      <c r="U6" s="108">
        <v>2213.25</v>
      </c>
      <c r="V6" s="5">
        <v>32.926099999999998</v>
      </c>
      <c r="W6" s="9">
        <v>21.708300000000001</v>
      </c>
      <c r="Y6" s="122"/>
      <c r="AA6" s="122"/>
      <c r="AB6" s="123"/>
      <c r="AC6" s="123"/>
    </row>
    <row r="7" spans="1:29">
      <c r="A7" s="20">
        <f>IF(ISBLANK('Phase CEMS PM Concentrations'!A7),"",'Phase CEMS PM Concentrations'!A7)</f>
        <v>44313</v>
      </c>
      <c r="B7" s="20" t="str">
        <f>IF(ISBLANK('Phase CEMS PM Concentrations'!B7),"",'Phase CEMS PM Concentrations'!B7)</f>
        <v>BK Princess</v>
      </c>
      <c r="C7" s="20" t="str">
        <f>IF(ISBLANK('Phase CEMS PM Concentrations'!C7),"",'Phase CEMS PM Concentrations'!C7)</f>
        <v>Wet spruce</v>
      </c>
      <c r="D7" s="20" t="str">
        <f>IF(ISBLANK('Phase CEMS PM Concentrations'!D7),"",'Phase CEMS PM Concentrations'!D7)</f>
        <v>Startup</v>
      </c>
      <c r="E7" s="22">
        <v>44313.375</v>
      </c>
      <c r="F7" s="22">
        <v>44313.390972222223</v>
      </c>
      <c r="G7" s="11">
        <v>23</v>
      </c>
      <c r="H7" s="3">
        <v>2.7149999999999999</v>
      </c>
      <c r="I7" s="5">
        <f t="shared" ref="I7:I16" si="4">H7/G7*60</f>
        <v>7.0826086956521737</v>
      </c>
      <c r="J7" s="107">
        <v>0.16200000000000001</v>
      </c>
      <c r="K7" s="5">
        <f t="shared" ref="K7:K16" si="5">(H7 - J7*H7)/G7*60</f>
        <v>5.9352260869565212</v>
      </c>
      <c r="L7" s="26">
        <v>229.541</v>
      </c>
      <c r="M7" s="26">
        <v>53.789900000000003</v>
      </c>
      <c r="N7" s="26">
        <v>46.884900000000002</v>
      </c>
      <c r="O7" s="108">
        <v>1002.69</v>
      </c>
      <c r="P7" s="108">
        <v>1417.18</v>
      </c>
      <c r="Q7" s="5">
        <v>7.4547699999999999</v>
      </c>
      <c r="R7" s="5">
        <v>27.586200000000002</v>
      </c>
      <c r="S7" s="5">
        <v>43.174900000000001</v>
      </c>
      <c r="T7" s="108">
        <v>997.23900000000003</v>
      </c>
      <c r="U7" s="108">
        <v>2210.12</v>
      </c>
      <c r="V7" s="5">
        <v>32.8795</v>
      </c>
      <c r="W7" s="9">
        <v>20.720800000000001</v>
      </c>
      <c r="Y7" s="122"/>
      <c r="AA7" s="122"/>
      <c r="AB7" s="123"/>
      <c r="AC7" s="123"/>
    </row>
    <row r="8" spans="1:29">
      <c r="A8" s="20">
        <f>IF(ISBLANK('Phase CEMS PM Concentrations'!A8),"",'Phase CEMS PM Concentrations'!A8)</f>
        <v>44313</v>
      </c>
      <c r="B8" s="20" t="str">
        <f>IF(ISBLANK('Phase CEMS PM Concentrations'!B8),"",'Phase CEMS PM Concentrations'!B8)</f>
        <v>BK Princess</v>
      </c>
      <c r="C8" s="20" t="str">
        <f>IF(ISBLANK('Phase CEMS PM Concentrations'!C8),"",'Phase CEMS PM Concentrations'!C8)</f>
        <v>Wet spruce</v>
      </c>
      <c r="D8" s="20" t="str">
        <f>IF(ISBLANK('Phase CEMS PM Concentrations'!D8),"",'Phase CEMS PM Concentrations'!D8)</f>
        <v>Low</v>
      </c>
      <c r="E8" s="22">
        <v>44313.392361111109</v>
      </c>
      <c r="F8" s="22">
        <v>44313.677083333336</v>
      </c>
      <c r="G8" s="11">
        <v>410</v>
      </c>
      <c r="H8" s="3">
        <v>16.05</v>
      </c>
      <c r="I8" s="5">
        <f t="shared" si="4"/>
        <v>2.3487804878048779</v>
      </c>
      <c r="J8" s="107">
        <v>0.16200000000000001</v>
      </c>
      <c r="K8" s="5">
        <f t="shared" si="5"/>
        <v>1.9682780487804876</v>
      </c>
      <c r="L8" s="26">
        <v>140.52600000000001</v>
      </c>
      <c r="M8" s="26">
        <v>34.182499999999997</v>
      </c>
      <c r="N8" s="26">
        <v>42.526299999999999</v>
      </c>
      <c r="O8" s="108">
        <v>1001.73</v>
      </c>
      <c r="P8" s="108">
        <v>1434.87</v>
      </c>
      <c r="Q8" s="5">
        <v>7.5478699999999996</v>
      </c>
      <c r="R8" s="5">
        <v>26.437799999999999</v>
      </c>
      <c r="S8" s="5">
        <v>42.017099999999999</v>
      </c>
      <c r="T8" s="108">
        <v>995.54</v>
      </c>
      <c r="U8" s="108">
        <v>2215.39</v>
      </c>
      <c r="V8" s="5">
        <v>32.957900000000002</v>
      </c>
      <c r="W8" s="9">
        <v>23.482299999999999</v>
      </c>
      <c r="Y8" s="122"/>
      <c r="AA8" s="122"/>
      <c r="AB8" s="123"/>
      <c r="AC8" s="123"/>
    </row>
    <row r="9" spans="1:29">
      <c r="A9" s="20">
        <f>IF(ISBLANK('Phase CEMS PM Concentrations'!A9),"",'Phase CEMS PM Concentrations'!A9)</f>
        <v>44314</v>
      </c>
      <c r="B9" s="20" t="str">
        <f>IF(ISBLANK('Phase CEMS PM Concentrations'!B9),"",'Phase CEMS PM Concentrations'!B9)</f>
        <v>BK Princess</v>
      </c>
      <c r="C9" s="20" t="str">
        <f>IF(ISBLANK('Phase CEMS PM Concentrations'!C9),"",'Phase CEMS PM Concentrations'!C9)</f>
        <v>Wet spruce</v>
      </c>
      <c r="D9" s="20" t="str">
        <f>IF(ISBLANK('Phase CEMS PM Concentrations'!D9),"",'Phase CEMS PM Concentrations'!D9)</f>
        <v>Startup</v>
      </c>
      <c r="E9" s="22">
        <v>44314.347222222219</v>
      </c>
      <c r="F9" s="22">
        <v>44314.372916666667</v>
      </c>
      <c r="G9" s="11">
        <v>37</v>
      </c>
      <c r="H9" s="3">
        <v>3.3008999999999999</v>
      </c>
      <c r="I9" s="5">
        <f t="shared" si="4"/>
        <v>5.3528108108108112</v>
      </c>
      <c r="J9" s="107">
        <v>0.18</v>
      </c>
      <c r="K9" s="5">
        <f t="shared" si="5"/>
        <v>4.3893048648648652</v>
      </c>
      <c r="L9" s="26">
        <v>217.49600000000001</v>
      </c>
      <c r="M9" s="26">
        <v>48.514899999999997</v>
      </c>
      <c r="N9" s="26">
        <v>51.046100000000003</v>
      </c>
      <c r="O9" s="108">
        <v>1001.17</v>
      </c>
      <c r="P9" s="108">
        <v>1414.51</v>
      </c>
      <c r="Q9" s="5">
        <v>7.4407199999999998</v>
      </c>
      <c r="R9" s="5">
        <v>28.413599999999999</v>
      </c>
      <c r="S9" s="5">
        <v>47.295499999999997</v>
      </c>
      <c r="T9" s="108">
        <v>995.08699999999999</v>
      </c>
      <c r="U9" s="108">
        <v>2213.7399999999998</v>
      </c>
      <c r="V9" s="5">
        <v>32.933399999999999</v>
      </c>
      <c r="W9" s="9">
        <v>22.831700000000001</v>
      </c>
      <c r="Y9" s="122"/>
      <c r="AA9" s="122"/>
      <c r="AB9" s="123"/>
      <c r="AC9" s="123"/>
    </row>
    <row r="10" spans="1:29">
      <c r="A10" s="20">
        <f>IF(ISBLANK('Phase CEMS PM Concentrations'!A10),"",'Phase CEMS PM Concentrations'!A10)</f>
        <v>44314</v>
      </c>
      <c r="B10" s="20" t="str">
        <f>IF(ISBLANK('Phase CEMS PM Concentrations'!B10),"",'Phase CEMS PM Concentrations'!B10)</f>
        <v>BK Princess</v>
      </c>
      <c r="C10" s="20" t="str">
        <f>IF(ISBLANK('Phase CEMS PM Concentrations'!C10),"",'Phase CEMS PM Concentrations'!C10)</f>
        <v>Wet spruce</v>
      </c>
      <c r="D10" s="20" t="str">
        <f>IF(ISBLANK('Phase CEMS PM Concentrations'!D10),"",'Phase CEMS PM Concentrations'!D10)</f>
        <v>Low</v>
      </c>
      <c r="E10" s="22">
        <v>44314.374305555553</v>
      </c>
      <c r="F10" s="22">
        <v>44314.656944444447</v>
      </c>
      <c r="G10" s="11">
        <v>407</v>
      </c>
      <c r="H10" s="3">
        <v>15.96</v>
      </c>
      <c r="I10" s="5">
        <f t="shared" si="4"/>
        <v>2.3528255528255526</v>
      </c>
      <c r="J10" s="107">
        <v>0.216</v>
      </c>
      <c r="K10" s="5">
        <f t="shared" si="5"/>
        <v>1.8446152334152337</v>
      </c>
      <c r="L10" s="26">
        <v>131.79400000000001</v>
      </c>
      <c r="M10" s="26">
        <v>33.340200000000003</v>
      </c>
      <c r="N10" s="26">
        <v>50.05</v>
      </c>
      <c r="O10" s="108">
        <v>998.86500000000001</v>
      </c>
      <c r="P10" s="108">
        <v>1442.61</v>
      </c>
      <c r="Q10" s="5">
        <v>7.5885499999999997</v>
      </c>
      <c r="R10" s="5">
        <v>26.5718</v>
      </c>
      <c r="S10" s="5">
        <v>49.0625</v>
      </c>
      <c r="T10" s="108">
        <v>993.22400000000005</v>
      </c>
      <c r="U10" s="108">
        <v>2213.38</v>
      </c>
      <c r="V10" s="5">
        <v>32.927999999999997</v>
      </c>
      <c r="W10" s="9">
        <v>23.837700000000002</v>
      </c>
      <c r="Y10" s="122"/>
      <c r="AA10" s="122"/>
      <c r="AB10" s="123"/>
      <c r="AC10" s="123"/>
    </row>
    <row r="11" spans="1:29">
      <c r="A11" s="20">
        <f>IF(ISBLANK('Phase CEMS PM Concentrations'!A11),"",'Phase CEMS PM Concentrations'!A11)</f>
        <v>44315</v>
      </c>
      <c r="B11" s="20" t="str">
        <f>IF(ISBLANK('Phase CEMS PM Concentrations'!B11),"",'Phase CEMS PM Concentrations'!B11)</f>
        <v>BK Princess</v>
      </c>
      <c r="C11" s="20" t="str">
        <f>IF(ISBLANK('Phase CEMS PM Concentrations'!C11),"",'Phase CEMS PM Concentrations'!C11)</f>
        <v>Wet spruce</v>
      </c>
      <c r="D11" s="20" t="str">
        <f>IF(ISBLANK('Phase CEMS PM Concentrations'!D11),"",'Phase CEMS PM Concentrations'!D11)</f>
        <v>Startup</v>
      </c>
      <c r="E11" s="22">
        <v>44315.34375</v>
      </c>
      <c r="F11" s="22">
        <v>44315.359027777777</v>
      </c>
      <c r="G11" s="11">
        <v>22</v>
      </c>
      <c r="H11" s="3">
        <v>3.0691999999999999</v>
      </c>
      <c r="I11" s="5">
        <f t="shared" si="4"/>
        <v>8.3705454545454554</v>
      </c>
      <c r="J11" s="107">
        <v>0.19600000000000001</v>
      </c>
      <c r="K11" s="5">
        <f t="shared" si="5"/>
        <v>6.729918545454546</v>
      </c>
      <c r="L11" s="26">
        <v>305.86200000000002</v>
      </c>
      <c r="M11" s="26">
        <v>70.051100000000005</v>
      </c>
      <c r="N11" s="26">
        <v>52.912199999999999</v>
      </c>
      <c r="O11" s="108">
        <v>995.28800000000001</v>
      </c>
      <c r="P11" s="108">
        <v>914.97</v>
      </c>
      <c r="Q11" s="5">
        <v>4.8130199999999999</v>
      </c>
      <c r="R11" s="5">
        <v>32.406700000000001</v>
      </c>
      <c r="S11" s="5">
        <v>44.268300000000004</v>
      </c>
      <c r="T11" s="108">
        <v>989.21500000000003</v>
      </c>
      <c r="U11" s="108">
        <v>2223.25</v>
      </c>
      <c r="V11" s="5">
        <v>33.0749</v>
      </c>
      <c r="W11" s="9">
        <v>23.862100000000002</v>
      </c>
      <c r="Y11" s="122"/>
      <c r="AA11" s="122"/>
      <c r="AB11" s="123"/>
      <c r="AC11" s="123"/>
    </row>
    <row r="12" spans="1:29">
      <c r="A12" s="20">
        <f>IF(ISBLANK('Phase CEMS PM Concentrations'!A12),"",'Phase CEMS PM Concentrations'!A12)</f>
        <v>44315</v>
      </c>
      <c r="B12" s="20" t="str">
        <f>IF(ISBLANK('Phase CEMS PM Concentrations'!B12),"",'Phase CEMS PM Concentrations'!B12)</f>
        <v>BK Princess</v>
      </c>
      <c r="C12" s="20" t="str">
        <f>IF(ISBLANK('Phase CEMS PM Concentrations'!C12),"",'Phase CEMS PM Concentrations'!C12)</f>
        <v>Wet spruce</v>
      </c>
      <c r="D12" s="20" t="str">
        <f>IF(ISBLANK('Phase CEMS PM Concentrations'!D12),"",'Phase CEMS PM Concentrations'!D12)</f>
        <v>Low</v>
      </c>
      <c r="E12" s="22">
        <v>44315.361111111109</v>
      </c>
      <c r="F12" s="22">
        <v>44315.736111111109</v>
      </c>
      <c r="G12" s="11">
        <v>540</v>
      </c>
      <c r="H12" s="3">
        <v>14.95</v>
      </c>
      <c r="I12" s="5">
        <f t="shared" si="4"/>
        <v>1.661111111111111</v>
      </c>
      <c r="J12" s="107">
        <v>0.19900000000000001</v>
      </c>
      <c r="K12" s="5">
        <f t="shared" si="5"/>
        <v>1.3305499999999999</v>
      </c>
      <c r="L12" s="26">
        <v>109.223</v>
      </c>
      <c r="M12" s="26">
        <v>30.8065</v>
      </c>
      <c r="N12" s="26">
        <v>52.981499999999997</v>
      </c>
      <c r="O12" s="108">
        <v>993.33299999999997</v>
      </c>
      <c r="P12" s="108">
        <v>1451.22</v>
      </c>
      <c r="Q12" s="5">
        <v>7.6338699999999999</v>
      </c>
      <c r="R12" s="5">
        <v>25.843699999999998</v>
      </c>
      <c r="S12" s="5">
        <v>52.456699999999998</v>
      </c>
      <c r="T12" s="108">
        <v>987.11400000000003</v>
      </c>
      <c r="U12" s="108">
        <v>2213.0500000000002</v>
      </c>
      <c r="V12" s="5">
        <v>32.923000000000002</v>
      </c>
      <c r="W12" s="9">
        <v>23.782900000000001</v>
      </c>
      <c r="Y12" s="122"/>
      <c r="AA12" s="122"/>
      <c r="AB12" s="123"/>
      <c r="AC12" s="123"/>
    </row>
    <row r="13" spans="1:29">
      <c r="A13" s="20">
        <f>IF(ISBLANK('Phase CEMS PM Concentrations'!A13),"",'Phase CEMS PM Concentrations'!A13)</f>
        <v>44326</v>
      </c>
      <c r="B13" s="20" t="str">
        <f>IF(ISBLANK('Phase CEMS PM Concentrations'!B13),"",'Phase CEMS PM Concentrations'!B13)</f>
        <v>BK Princess</v>
      </c>
      <c r="C13" s="20" t="str">
        <f>IF(ISBLANK('Phase CEMS PM Concentrations'!C13),"",'Phase CEMS PM Concentrations'!C13)</f>
        <v>Wet spruce</v>
      </c>
      <c r="D13" s="20" t="str">
        <f>IF(ISBLANK('Phase CEMS PM Concentrations'!D13),"",'Phase CEMS PM Concentrations'!D13)</f>
        <v>Startup</v>
      </c>
      <c r="E13" s="22">
        <v>44326.392361111109</v>
      </c>
      <c r="F13" s="22">
        <v>44326.410416666666</v>
      </c>
      <c r="G13" s="11">
        <v>26</v>
      </c>
      <c r="H13" s="3">
        <v>1.6809000000000001</v>
      </c>
      <c r="I13" s="5">
        <f t="shared" si="4"/>
        <v>3.879</v>
      </c>
      <c r="J13" s="107">
        <v>0.115</v>
      </c>
      <c r="K13" s="5">
        <f t="shared" si="5"/>
        <v>3.4329149999999999</v>
      </c>
      <c r="L13" s="26">
        <v>220.23099999999999</v>
      </c>
      <c r="M13" s="26">
        <v>51.444000000000003</v>
      </c>
      <c r="N13" s="26">
        <v>50.374499999999998</v>
      </c>
      <c r="O13" s="108">
        <v>994.06799999999998</v>
      </c>
      <c r="P13" s="108">
        <v>1454.73</v>
      </c>
      <c r="Q13" s="5">
        <v>7.6523099999999999</v>
      </c>
      <c r="R13" s="5">
        <v>30.000699999999998</v>
      </c>
      <c r="S13" s="5">
        <v>46.266599999999997</v>
      </c>
      <c r="T13" s="108">
        <v>987.86</v>
      </c>
      <c r="U13" s="108">
        <v>2225.08</v>
      </c>
      <c r="V13" s="5">
        <v>33.101999999999997</v>
      </c>
      <c r="W13" s="9">
        <v>24.003699999999998</v>
      </c>
      <c r="Y13" s="122"/>
      <c r="AA13" s="122"/>
      <c r="AB13" s="123"/>
      <c r="AC13" s="123"/>
    </row>
    <row r="14" spans="1:29">
      <c r="A14" s="20">
        <f>IF(ISBLANK('Phase CEMS PM Concentrations'!A14),"",'Phase CEMS PM Concentrations'!A14)</f>
        <v>44326</v>
      </c>
      <c r="B14" s="20" t="str">
        <f>IF(ISBLANK('Phase CEMS PM Concentrations'!B14),"",'Phase CEMS PM Concentrations'!B14)</f>
        <v>BK Princess</v>
      </c>
      <c r="C14" s="20" t="str">
        <f>IF(ISBLANK('Phase CEMS PM Concentrations'!C14),"",'Phase CEMS PM Concentrations'!C14)</f>
        <v>Wet spruce</v>
      </c>
      <c r="D14" s="20" t="str">
        <f>IF(ISBLANK('Phase CEMS PM Concentrations'!D14),"",'Phase CEMS PM Concentrations'!D14)</f>
        <v>High</v>
      </c>
      <c r="E14" s="22">
        <v>44326.411805555559</v>
      </c>
      <c r="F14" s="22">
        <v>44326.559374999997</v>
      </c>
      <c r="G14" s="11">
        <v>212.5</v>
      </c>
      <c r="H14" s="3">
        <v>11.7</v>
      </c>
      <c r="I14" s="5">
        <f t="shared" si="4"/>
        <v>3.303529411764706</v>
      </c>
      <c r="J14" s="107">
        <v>0.20200000000000001</v>
      </c>
      <c r="K14" s="5">
        <f t="shared" si="5"/>
        <v>2.6362164705882347</v>
      </c>
      <c r="L14" s="26">
        <v>189.78700000000001</v>
      </c>
      <c r="M14" s="26">
        <v>39.7575</v>
      </c>
      <c r="N14" s="26">
        <v>47.715000000000003</v>
      </c>
      <c r="O14" s="108">
        <v>994.90800000000002</v>
      </c>
      <c r="P14" s="108">
        <v>1488.93</v>
      </c>
      <c r="Q14" s="5">
        <v>7.83223</v>
      </c>
      <c r="R14" s="5">
        <v>27.154399999999999</v>
      </c>
      <c r="S14" s="5">
        <v>47.764800000000001</v>
      </c>
      <c r="T14" s="108">
        <v>988.47</v>
      </c>
      <c r="U14" s="108">
        <v>2223.08</v>
      </c>
      <c r="V14" s="5">
        <v>33.072400000000002</v>
      </c>
      <c r="W14" s="9">
        <v>23.976600000000001</v>
      </c>
      <c r="Y14" s="122"/>
      <c r="AA14" s="122"/>
      <c r="AB14" s="123"/>
      <c r="AC14" s="123"/>
    </row>
    <row r="15" spans="1:29">
      <c r="A15" s="20">
        <f>IF(ISBLANK('Phase CEMS PM Concentrations'!A15),"",'Phase CEMS PM Concentrations'!A15)</f>
        <v>44336</v>
      </c>
      <c r="B15" s="20" t="str">
        <f>IF(ISBLANK('Phase CEMS PM Concentrations'!B15),"",'Phase CEMS PM Concentrations'!B15)</f>
        <v>BK Princess</v>
      </c>
      <c r="C15" s="20" t="str">
        <f>IF(ISBLANK('Phase CEMS PM Concentrations'!C15),"",'Phase CEMS PM Concentrations'!C15)</f>
        <v>Wet birch</v>
      </c>
      <c r="D15" s="20" t="str">
        <f>IF(ISBLANK('Phase CEMS PM Concentrations'!D15),"",'Phase CEMS PM Concentrations'!D15)</f>
        <v>Startup</v>
      </c>
      <c r="E15" s="22">
        <v>44336.40347222222</v>
      </c>
      <c r="F15" s="22">
        <v>44336.425000000003</v>
      </c>
      <c r="G15" s="11">
        <v>31</v>
      </c>
      <c r="H15" s="3">
        <v>2.7945000000000002</v>
      </c>
      <c r="I15" s="5">
        <f t="shared" si="4"/>
        <v>5.4087096774193553</v>
      </c>
      <c r="J15" s="107">
        <v>0.191</v>
      </c>
      <c r="K15" s="5">
        <f t="shared" si="5"/>
        <v>4.3756461290322592</v>
      </c>
      <c r="L15" s="26">
        <v>205.66200000000001</v>
      </c>
      <c r="M15" s="26">
        <v>49.814300000000003</v>
      </c>
      <c r="N15" s="26">
        <v>52.853900000000003</v>
      </c>
      <c r="O15" s="108">
        <v>1011.44</v>
      </c>
      <c r="P15" s="108">
        <v>1472.04</v>
      </c>
      <c r="Q15" s="5">
        <v>7.7433899999999998</v>
      </c>
      <c r="R15" s="5">
        <v>28.802600000000002</v>
      </c>
      <c r="S15" s="5">
        <v>47.202399999999997</v>
      </c>
      <c r="T15" s="108">
        <v>1005.1</v>
      </c>
      <c r="U15" s="108">
        <v>2217.12</v>
      </c>
      <c r="V15" s="5">
        <v>32.983600000000003</v>
      </c>
      <c r="W15" s="9">
        <v>23.464300000000001</v>
      </c>
      <c r="Y15" s="122"/>
      <c r="AA15" s="122"/>
      <c r="AB15" s="123"/>
      <c r="AC15" s="123"/>
    </row>
    <row r="16" spans="1:29">
      <c r="A16" s="20">
        <f>IF(ISBLANK('Phase CEMS PM Concentrations'!A16),"",'Phase CEMS PM Concentrations'!A16)</f>
        <v>44336</v>
      </c>
      <c r="B16" s="20" t="str">
        <f>IF(ISBLANK('Phase CEMS PM Concentrations'!B16),"",'Phase CEMS PM Concentrations'!B16)</f>
        <v>BK Princess</v>
      </c>
      <c r="C16" s="20" t="str">
        <f>IF(ISBLANK('Phase CEMS PM Concentrations'!C16),"",'Phase CEMS PM Concentrations'!C16)</f>
        <v>Wet birch</v>
      </c>
      <c r="D16" s="20" t="str">
        <f>IF(ISBLANK('Phase CEMS PM Concentrations'!D16),"",'Phase CEMS PM Concentrations'!D16)</f>
        <v>High</v>
      </c>
      <c r="E16" s="22">
        <v>44336.426388888889</v>
      </c>
      <c r="F16" s="22">
        <v>44336.568055555559</v>
      </c>
      <c r="G16" s="11">
        <v>204</v>
      </c>
      <c r="H16" s="3">
        <v>12.082599999999999</v>
      </c>
      <c r="I16" s="5">
        <f t="shared" si="4"/>
        <v>3.5537058823529408</v>
      </c>
      <c r="J16" s="107">
        <v>0.20599999999999999</v>
      </c>
      <c r="K16" s="5">
        <f t="shared" si="5"/>
        <v>2.8216424705882353</v>
      </c>
      <c r="L16" s="26">
        <v>214.072</v>
      </c>
      <c r="M16" s="26">
        <v>42.8628</v>
      </c>
      <c r="N16" s="26">
        <v>41.686</v>
      </c>
      <c r="O16" s="108">
        <v>1011.42</v>
      </c>
      <c r="P16" s="108">
        <v>1519.2</v>
      </c>
      <c r="Q16" s="5">
        <v>7.9914300000000003</v>
      </c>
      <c r="R16" s="5">
        <v>28.476600000000001</v>
      </c>
      <c r="S16" s="5">
        <v>40.253</v>
      </c>
      <c r="T16" s="108">
        <v>1004.81</v>
      </c>
      <c r="U16" s="108">
        <v>2216.5500000000002</v>
      </c>
      <c r="V16" s="5">
        <v>32.975099999999998</v>
      </c>
      <c r="W16" s="9">
        <v>24.526599999999998</v>
      </c>
      <c r="Y16" s="122"/>
      <c r="AA16" s="122"/>
      <c r="AB16" s="123"/>
      <c r="AC16" s="123"/>
    </row>
    <row r="17" spans="1:90">
      <c r="A17" s="20">
        <f>IF(ISBLANK('Phase CEMS PM Concentrations'!A17),"",'Phase CEMS PM Concentrations'!A17)</f>
        <v>44341</v>
      </c>
      <c r="B17" s="20" t="str">
        <f>IF(ISBLANK('Phase CEMS PM Concentrations'!B17),"",'Phase CEMS PM Concentrations'!B17)</f>
        <v>BK Princess</v>
      </c>
      <c r="C17" s="20" t="str">
        <f>IF(ISBLANK('Phase CEMS PM Concentrations'!C17),"",'Phase CEMS PM Concentrations'!C17)</f>
        <v>Wet birch</v>
      </c>
      <c r="D17" s="20" t="str">
        <f>IF(ISBLANK('Phase CEMS PM Concentrations'!D17),"",'Phase CEMS PM Concentrations'!D17)</f>
        <v>Startup</v>
      </c>
      <c r="E17" s="22">
        <v>44341.361805555556</v>
      </c>
      <c r="F17" s="22">
        <v>44341.381944444445</v>
      </c>
      <c r="G17" s="11">
        <v>29</v>
      </c>
      <c r="H17" s="3">
        <v>3.3386</v>
      </c>
      <c r="I17" s="5">
        <f t="shared" ref="I17:I20" si="6">H17/G17*60</f>
        <v>6.9074482758620697</v>
      </c>
      <c r="J17" s="107">
        <v>0.13300000000000001</v>
      </c>
      <c r="K17" s="5">
        <f t="shared" ref="K17:K20" si="7">(H17 - J17*H17)/G17*60</f>
        <v>5.9887576551724138</v>
      </c>
      <c r="L17" s="26">
        <v>231.72900000000001</v>
      </c>
      <c r="M17" s="26">
        <v>52.4238</v>
      </c>
      <c r="N17" s="26">
        <v>55.986400000000003</v>
      </c>
      <c r="O17" s="108">
        <v>1005.87</v>
      </c>
      <c r="P17" s="108">
        <v>1523.67</v>
      </c>
      <c r="Q17" s="5">
        <v>8.0149399999999993</v>
      </c>
      <c r="R17" s="5">
        <v>29.592099999999999</v>
      </c>
      <c r="S17" s="5">
        <v>51.184699999999999</v>
      </c>
      <c r="T17" s="108">
        <v>999.43700000000001</v>
      </c>
      <c r="U17" s="108">
        <v>2197.4499999999998</v>
      </c>
      <c r="V17" s="5">
        <v>32.691000000000003</v>
      </c>
      <c r="W17" s="9">
        <v>23.897500000000001</v>
      </c>
      <c r="Y17" s="122"/>
      <c r="AA17" s="122"/>
      <c r="AB17" s="123"/>
      <c r="AC17" s="123"/>
    </row>
    <row r="18" spans="1:90">
      <c r="A18" s="20">
        <f>IF(ISBLANK('Phase CEMS PM Concentrations'!A18),"",'Phase CEMS PM Concentrations'!A18)</f>
        <v>44341</v>
      </c>
      <c r="B18" s="20" t="str">
        <f>IF(ISBLANK('Phase CEMS PM Concentrations'!B18),"",'Phase CEMS PM Concentrations'!B18)</f>
        <v>BK Princess</v>
      </c>
      <c r="C18" s="20" t="str">
        <f>IF(ISBLANK('Phase CEMS PM Concentrations'!C18),"",'Phase CEMS PM Concentrations'!C18)</f>
        <v>Wet birch</v>
      </c>
      <c r="D18" s="20" t="str">
        <f>IF(ISBLANK('Phase CEMS PM Concentrations'!D18),"",'Phase CEMS PM Concentrations'!D18)</f>
        <v>Low</v>
      </c>
      <c r="E18" s="22">
        <v>44341.383333333331</v>
      </c>
      <c r="F18" s="22">
        <v>44341.73541666667</v>
      </c>
      <c r="G18" s="11">
        <v>507</v>
      </c>
      <c r="H18" s="3">
        <v>14.87</v>
      </c>
      <c r="I18" s="5">
        <f t="shared" si="6"/>
        <v>1.7597633136094675</v>
      </c>
      <c r="J18" s="107">
        <v>0.21099999999999999</v>
      </c>
      <c r="K18" s="5">
        <f t="shared" si="7"/>
        <v>1.3884532544378698</v>
      </c>
      <c r="L18" s="26">
        <v>140.18799999999999</v>
      </c>
      <c r="M18" s="26">
        <v>34.230800000000002</v>
      </c>
      <c r="N18" s="26">
        <v>51.655799999999999</v>
      </c>
      <c r="O18" s="108">
        <v>1004.89</v>
      </c>
      <c r="P18" s="108">
        <v>1495.89</v>
      </c>
      <c r="Q18" s="5">
        <v>7.8688500000000001</v>
      </c>
      <c r="R18" s="5">
        <v>26.331800000000001</v>
      </c>
      <c r="S18" s="5">
        <v>50.363399999999999</v>
      </c>
      <c r="T18" s="108">
        <v>998.56700000000001</v>
      </c>
      <c r="U18" s="108">
        <v>2191.27</v>
      </c>
      <c r="V18" s="5">
        <v>32.5991</v>
      </c>
      <c r="W18" s="9">
        <v>23.983699999999999</v>
      </c>
      <c r="Y18" s="122"/>
      <c r="AA18" s="122"/>
      <c r="AB18" s="123"/>
      <c r="AC18" s="123"/>
    </row>
    <row r="19" spans="1:90">
      <c r="A19" s="20">
        <f>IF(ISBLANK('Phase CEMS PM Concentrations'!A19),"",'Phase CEMS PM Concentrations'!A19)</f>
        <v>44342</v>
      </c>
      <c r="B19" s="20" t="str">
        <f>IF(ISBLANK('Phase CEMS PM Concentrations'!B19),"",'Phase CEMS PM Concentrations'!B19)</f>
        <v>BK Princess</v>
      </c>
      <c r="C19" s="20" t="str">
        <f>IF(ISBLANK('Phase CEMS PM Concentrations'!C19),"",'Phase CEMS PM Concentrations'!C19)</f>
        <v>Wet birch</v>
      </c>
      <c r="D19" s="20" t="str">
        <f>IF(ISBLANK('Phase CEMS PM Concentrations'!D19),"",'Phase CEMS PM Concentrations'!D19)</f>
        <v>Startup</v>
      </c>
      <c r="E19" s="22">
        <v>44342.388888888891</v>
      </c>
      <c r="F19" s="22">
        <v>44342.416666666664</v>
      </c>
      <c r="G19" s="11">
        <v>40</v>
      </c>
      <c r="H19" s="3">
        <v>3.7370999999999999</v>
      </c>
      <c r="I19" s="5">
        <f t="shared" si="6"/>
        <v>5.6056499999999998</v>
      </c>
      <c r="J19" s="107">
        <v>0.13900000000000001</v>
      </c>
      <c r="K19" s="5">
        <f t="shared" si="7"/>
        <v>4.8264646500000001</v>
      </c>
      <c r="L19" s="26">
        <v>190.59899999999999</v>
      </c>
      <c r="M19" s="26">
        <v>42.069899999999997</v>
      </c>
      <c r="N19" s="26">
        <v>64.012500000000003</v>
      </c>
      <c r="O19" s="108">
        <v>1002.2</v>
      </c>
      <c r="P19" s="108">
        <v>1533.62</v>
      </c>
      <c r="Q19" s="5">
        <v>8.0672899999999998</v>
      </c>
      <c r="R19" s="5">
        <v>27.829000000000001</v>
      </c>
      <c r="S19" s="5">
        <v>62.626800000000003</v>
      </c>
      <c r="T19" s="108">
        <v>995.82100000000003</v>
      </c>
      <c r="U19" s="108">
        <v>2191.12</v>
      </c>
      <c r="V19" s="5">
        <v>32.596800000000002</v>
      </c>
      <c r="W19" s="9">
        <v>24.5383</v>
      </c>
      <c r="Y19" s="122"/>
      <c r="AA19" s="122"/>
      <c r="AB19" s="123"/>
      <c r="AC19" s="123"/>
    </row>
    <row r="20" spans="1:90">
      <c r="A20" s="20">
        <f>IF(ISBLANK('Phase CEMS PM Concentrations'!A20),"",'Phase CEMS PM Concentrations'!A20)</f>
        <v>44342</v>
      </c>
      <c r="B20" s="20" t="str">
        <f>IF(ISBLANK('Phase CEMS PM Concentrations'!B20),"",'Phase CEMS PM Concentrations'!B20)</f>
        <v>BK Princess</v>
      </c>
      <c r="C20" s="20" t="str">
        <f>IF(ISBLANK('Phase CEMS PM Concentrations'!C20),"",'Phase CEMS PM Concentrations'!C20)</f>
        <v>Wet birch</v>
      </c>
      <c r="D20" s="20" t="str">
        <f>IF(ISBLANK('Phase CEMS PM Concentrations'!D20),"",'Phase CEMS PM Concentrations'!D20)</f>
        <v>Low</v>
      </c>
      <c r="E20" s="22">
        <v>44342.418055555558</v>
      </c>
      <c r="F20" s="22">
        <v>44342.729166666664</v>
      </c>
      <c r="G20" s="11">
        <v>448</v>
      </c>
      <c r="H20" s="3">
        <v>14.92</v>
      </c>
      <c r="I20" s="5">
        <f t="shared" si="6"/>
        <v>1.9982142857142855</v>
      </c>
      <c r="J20" s="107">
        <v>0.20399999999999999</v>
      </c>
      <c r="K20" s="5">
        <f t="shared" si="7"/>
        <v>1.5905785714285714</v>
      </c>
      <c r="L20" s="26">
        <v>145.005</v>
      </c>
      <c r="M20" s="26">
        <v>34.770600000000002</v>
      </c>
      <c r="N20" s="26">
        <v>48.909300000000002</v>
      </c>
      <c r="O20" s="108">
        <v>999.77099999999996</v>
      </c>
      <c r="P20" s="108">
        <v>1492.49</v>
      </c>
      <c r="Q20" s="5">
        <v>7.85093</v>
      </c>
      <c r="R20" s="5">
        <v>25.945</v>
      </c>
      <c r="S20" s="5">
        <v>48.710299999999997</v>
      </c>
      <c r="T20" s="108">
        <v>993.44</v>
      </c>
      <c r="U20" s="108">
        <v>2201.19</v>
      </c>
      <c r="V20" s="5">
        <v>32.746699999999997</v>
      </c>
      <c r="W20" s="9">
        <v>23.838799999999999</v>
      </c>
      <c r="Y20" s="122"/>
      <c r="AA20" s="122"/>
      <c r="AB20" s="123"/>
      <c r="AC20" s="123"/>
    </row>
    <row r="21" spans="1:90">
      <c r="A21" s="20">
        <f>IF(ISBLANK('Phase CEMS PM Concentrations'!A21),"",'Phase CEMS PM Concentrations'!A21)</f>
        <v>44343</v>
      </c>
      <c r="B21" s="20" t="str">
        <f>IF(ISBLANK('Phase CEMS PM Concentrations'!B21),"",'Phase CEMS PM Concentrations'!B21)</f>
        <v>BK Princess</v>
      </c>
      <c r="C21" s="20" t="str">
        <f>IF(ISBLANK('Phase CEMS PM Concentrations'!C21),"",'Phase CEMS PM Concentrations'!C21)</f>
        <v>Wet birch</v>
      </c>
      <c r="D21" s="20" t="str">
        <f>IF(ISBLANK('Phase CEMS PM Concentrations'!D21),"",'Phase CEMS PM Concentrations'!D21)</f>
        <v>Startup</v>
      </c>
      <c r="E21" s="22">
        <v>44343.367361111108</v>
      </c>
      <c r="F21" s="22">
        <v>44343.402083333334</v>
      </c>
      <c r="G21" s="11">
        <v>50</v>
      </c>
      <c r="H21" s="3">
        <v>3.8855</v>
      </c>
      <c r="I21" s="5">
        <f t="shared" ref="I21:I24" si="8">H21/G21*60</f>
        <v>4.6626000000000003</v>
      </c>
      <c r="J21" s="107">
        <v>0.161</v>
      </c>
      <c r="K21" s="5">
        <f t="shared" ref="K21:K24" si="9">(H21 - J21*H21)/G21*60</f>
        <v>3.9119214000000002</v>
      </c>
      <c r="L21" s="26">
        <v>257.36</v>
      </c>
      <c r="M21" s="26">
        <v>52.9358</v>
      </c>
      <c r="N21" s="26">
        <v>49.597799999999999</v>
      </c>
      <c r="O21" s="108">
        <v>999.51599999999996</v>
      </c>
      <c r="P21" s="108">
        <v>1543.08</v>
      </c>
      <c r="Q21" s="5">
        <v>8.1170500000000008</v>
      </c>
      <c r="R21" s="5">
        <v>29.562000000000001</v>
      </c>
      <c r="S21" s="5">
        <v>45.137900000000002</v>
      </c>
      <c r="T21" s="108">
        <v>993.36199999999997</v>
      </c>
      <c r="U21" s="108">
        <v>2201.16</v>
      </c>
      <c r="V21" s="5">
        <v>32.746200000000002</v>
      </c>
      <c r="W21" s="9">
        <v>24.250699999999998</v>
      </c>
      <c r="Y21" s="122"/>
      <c r="AA21" s="122"/>
      <c r="AB21" s="123"/>
      <c r="AC21" s="123"/>
    </row>
    <row r="22" spans="1:90">
      <c r="A22" s="20">
        <f>IF(ISBLANK('Phase CEMS PM Concentrations'!A22),"",'Phase CEMS PM Concentrations'!A22)</f>
        <v>44343</v>
      </c>
      <c r="B22" s="20" t="str">
        <f>IF(ISBLANK('Phase CEMS PM Concentrations'!B22),"",'Phase CEMS PM Concentrations'!B22)</f>
        <v>BK Princess</v>
      </c>
      <c r="C22" s="20" t="str">
        <f>IF(ISBLANK('Phase CEMS PM Concentrations'!C22),"",'Phase CEMS PM Concentrations'!C22)</f>
        <v>Wet birch</v>
      </c>
      <c r="D22" s="20" t="str">
        <f>IF(ISBLANK('Phase CEMS PM Concentrations'!D22),"",'Phase CEMS PM Concentrations'!D22)</f>
        <v>Low</v>
      </c>
      <c r="E22" s="22">
        <v>44343.403819444444</v>
      </c>
      <c r="F22" s="22">
        <v>44343.740972222222</v>
      </c>
      <c r="G22" s="11">
        <v>485.5</v>
      </c>
      <c r="H22" s="3">
        <v>15.27</v>
      </c>
      <c r="I22" s="5">
        <f t="shared" si="8"/>
        <v>1.8871266735324408</v>
      </c>
      <c r="J22" s="107">
        <v>0.20499999999999999</v>
      </c>
      <c r="K22" s="5">
        <f t="shared" si="9"/>
        <v>1.5002657054582904</v>
      </c>
      <c r="L22" s="26">
        <v>137.80000000000001</v>
      </c>
      <c r="M22" s="26">
        <v>33.570900000000002</v>
      </c>
      <c r="N22" s="26">
        <v>45.431100000000001</v>
      </c>
      <c r="O22" s="108">
        <v>997.50800000000004</v>
      </c>
      <c r="P22" s="108">
        <v>1551.82</v>
      </c>
      <c r="Q22" s="5">
        <v>8.1630500000000001</v>
      </c>
      <c r="R22" s="5">
        <v>25.526499999999999</v>
      </c>
      <c r="S22" s="5">
        <v>45.476700000000001</v>
      </c>
      <c r="T22" s="108">
        <v>991.43600000000004</v>
      </c>
      <c r="U22" s="108">
        <v>2199.85</v>
      </c>
      <c r="V22" s="5">
        <v>32.726700000000001</v>
      </c>
      <c r="W22" s="9">
        <v>23.626300000000001</v>
      </c>
      <c r="Y22" s="122"/>
      <c r="AA22" s="122"/>
      <c r="AB22" s="123"/>
      <c r="AC22" s="123"/>
    </row>
    <row r="23" spans="1:90">
      <c r="A23" s="20">
        <f>IF(ISBLANK('Phase CEMS PM Concentrations'!A23),"",'Phase CEMS PM Concentrations'!A23)</f>
        <v>44348</v>
      </c>
      <c r="B23" s="20" t="str">
        <f>IF(ISBLANK('Phase CEMS PM Concentrations'!B23),"",'Phase CEMS PM Concentrations'!B23)</f>
        <v>BK Princess</v>
      </c>
      <c r="C23" s="20" t="str">
        <f>IF(ISBLANK('Phase CEMS PM Concentrations'!C23),"",'Phase CEMS PM Concentrations'!C23)</f>
        <v>Wet birch</v>
      </c>
      <c r="D23" s="20" t="str">
        <f>IF(ISBLANK('Phase CEMS PM Concentrations'!D23),"",'Phase CEMS PM Concentrations'!D23)</f>
        <v>Startup</v>
      </c>
      <c r="E23" s="22">
        <v>44348.375694444447</v>
      </c>
      <c r="F23" s="22">
        <v>44348.38958333333</v>
      </c>
      <c r="G23" s="11">
        <v>20</v>
      </c>
      <c r="H23" s="3">
        <v>2.7593000000000001</v>
      </c>
      <c r="I23" s="5">
        <f>H23/G23*60</f>
        <v>8.2779000000000007</v>
      </c>
      <c r="J23" s="107">
        <v>0.16200000000000001</v>
      </c>
      <c r="K23" s="5">
        <f t="shared" si="9"/>
        <v>6.9368802000000001</v>
      </c>
      <c r="L23" s="26">
        <v>281.48899999999998</v>
      </c>
      <c r="M23" s="26">
        <v>61.992199999999997</v>
      </c>
      <c r="N23" s="26">
        <v>52.7819</v>
      </c>
      <c r="O23" s="108">
        <v>1007.34</v>
      </c>
      <c r="P23" s="108">
        <v>1482.37</v>
      </c>
      <c r="Q23" s="5">
        <v>7.7976999999999999</v>
      </c>
      <c r="R23" s="5">
        <v>29.490100000000002</v>
      </c>
      <c r="S23" s="5">
        <v>46.939900000000002</v>
      </c>
      <c r="T23" s="108">
        <v>1001.34</v>
      </c>
      <c r="U23" s="108">
        <v>2181.86</v>
      </c>
      <c r="V23" s="5">
        <v>32.459099999999999</v>
      </c>
      <c r="W23" s="9">
        <v>22.452300000000001</v>
      </c>
      <c r="Y23" s="122"/>
      <c r="AA23" s="122"/>
      <c r="AB23" s="123"/>
      <c r="AC23" s="123"/>
    </row>
    <row r="24" spans="1:90">
      <c r="A24" s="20">
        <f>IF(ISBLANK('Phase CEMS PM Concentrations'!A24),"",'Phase CEMS PM Concentrations'!A24)</f>
        <v>44348</v>
      </c>
      <c r="B24" s="20" t="str">
        <f>IF(ISBLANK('Phase CEMS PM Concentrations'!B24),"",'Phase CEMS PM Concentrations'!B24)</f>
        <v>BK Princess</v>
      </c>
      <c r="C24" s="20" t="str">
        <f>IF(ISBLANK('Phase CEMS PM Concentrations'!C24),"",'Phase CEMS PM Concentrations'!C24)</f>
        <v>Wet birch</v>
      </c>
      <c r="D24" s="20" t="str">
        <f>IF(ISBLANK('Phase CEMS PM Concentrations'!D24),"",'Phase CEMS PM Concentrations'!D24)</f>
        <v>High</v>
      </c>
      <c r="E24" s="22">
        <v>44348.390972222223</v>
      </c>
      <c r="F24" s="22">
        <v>44348.540972222225</v>
      </c>
      <c r="G24" s="11">
        <v>216</v>
      </c>
      <c r="H24" s="3">
        <v>11.933400000000001</v>
      </c>
      <c r="I24" s="5">
        <f t="shared" si="8"/>
        <v>3.3148333333333335</v>
      </c>
      <c r="J24" s="107">
        <v>0.191</v>
      </c>
      <c r="K24" s="5">
        <f t="shared" si="9"/>
        <v>2.6817001666666664</v>
      </c>
      <c r="L24" s="26">
        <v>211.08199999999999</v>
      </c>
      <c r="M24" s="26">
        <v>42.060299999999998</v>
      </c>
      <c r="N24" s="26">
        <v>46.314300000000003</v>
      </c>
      <c r="O24" s="108">
        <v>1006.79</v>
      </c>
      <c r="P24" s="108">
        <v>1587.34</v>
      </c>
      <c r="Q24" s="5">
        <v>8.3498900000000003</v>
      </c>
      <c r="R24" s="5">
        <v>27.4787</v>
      </c>
      <c r="S24" s="5">
        <v>44.3095</v>
      </c>
      <c r="T24" s="108">
        <v>1000.81</v>
      </c>
      <c r="U24" s="108">
        <v>2162.71</v>
      </c>
      <c r="V24" s="5">
        <v>32.174300000000002</v>
      </c>
      <c r="W24" s="9">
        <v>23.642399999999999</v>
      </c>
      <c r="Y24" s="122"/>
      <c r="AA24" s="122"/>
      <c r="AB24" s="123"/>
      <c r="AC24" s="123"/>
    </row>
    <row r="25" spans="1:90" s="71" customFormat="1">
      <c r="A25" s="70">
        <f>IF(ISBLANK('Phase CEMS PM Concentrations'!A25),"",'Phase CEMS PM Concentrations'!A25)</f>
        <v>44351</v>
      </c>
      <c r="B25" s="70" t="str">
        <f>IF(ISBLANK('Phase CEMS PM Concentrations'!B25),"",'Phase CEMS PM Concentrations'!B25)</f>
        <v>BK Princess</v>
      </c>
      <c r="C25" s="70" t="str">
        <f>IF(ISBLANK('Phase CEMS PM Concentrations'!C25),"",'Phase CEMS PM Concentrations'!C25)</f>
        <v xml:space="preserve">None </v>
      </c>
      <c r="D25" s="70" t="str">
        <f>IF(ISBLANK('Phase CEMS PM Concentrations'!D25),"",'Phase CEMS PM Concentrations'!D25)</f>
        <v>Background</v>
      </c>
      <c r="E25" s="127">
        <v>44351.373611111114</v>
      </c>
      <c r="F25" s="127">
        <v>44351.540277777778</v>
      </c>
      <c r="G25" s="149">
        <v>240</v>
      </c>
      <c r="H25" s="74"/>
      <c r="I25" s="74"/>
      <c r="J25" s="74"/>
      <c r="K25" s="74"/>
      <c r="L25" s="150">
        <v>22.522400000000001</v>
      </c>
      <c r="M25" s="150">
        <v>25.171099999999999</v>
      </c>
      <c r="N25" s="150">
        <v>57.251300000000001</v>
      </c>
      <c r="O25" s="151">
        <v>997.93700000000001</v>
      </c>
      <c r="P25" s="151">
        <v>1547.87</v>
      </c>
      <c r="Q25" s="152">
        <v>8.1422699999999999</v>
      </c>
      <c r="R25" s="152">
        <v>25.3322</v>
      </c>
      <c r="S25" s="152">
        <v>57.245699999999999</v>
      </c>
      <c r="T25" s="151">
        <v>991.82</v>
      </c>
      <c r="U25" s="151">
        <v>2159.8200000000002</v>
      </c>
      <c r="V25" s="152">
        <v>32.1312</v>
      </c>
      <c r="W25" s="73">
        <v>24.554500000000001</v>
      </c>
      <c r="Y25" s="155"/>
      <c r="Z25" s="155"/>
      <c r="AA25" s="155"/>
      <c r="AB25" s="156"/>
      <c r="AC25" s="156"/>
    </row>
    <row r="26" spans="1:90">
      <c r="A26" s="20"/>
      <c r="B26" s="20"/>
      <c r="C26" s="20"/>
      <c r="D26" s="20"/>
      <c r="E26" s="22"/>
      <c r="F26" s="22"/>
      <c r="G26" s="11"/>
      <c r="H26" s="3"/>
      <c r="I26" s="5"/>
      <c r="J26" s="17"/>
      <c r="K26" s="5"/>
      <c r="L26" s="3"/>
      <c r="M26" s="3"/>
      <c r="N26" s="3"/>
      <c r="O26" s="3"/>
      <c r="P26" s="3"/>
      <c r="Q26" s="3"/>
      <c r="R26" s="3"/>
      <c r="S26" s="3"/>
      <c r="T26" s="3"/>
      <c r="U26" s="3"/>
      <c r="V26" s="3"/>
      <c r="Y26" s="14"/>
      <c r="Z26" s="14"/>
      <c r="AA26" s="14"/>
      <c r="AB26" s="15"/>
      <c r="AC26" s="15"/>
    </row>
    <row r="27" spans="1:90">
      <c r="A27" s="20"/>
      <c r="B27" s="20"/>
      <c r="C27" s="20"/>
      <c r="D27" s="20"/>
      <c r="E27" s="22"/>
      <c r="F27" s="22"/>
      <c r="G27" s="11"/>
      <c r="H27" s="3"/>
      <c r="I27" s="5"/>
      <c r="J27" s="17"/>
      <c r="K27" s="5"/>
      <c r="L27" s="3"/>
      <c r="M27" s="3"/>
      <c r="N27" s="3"/>
      <c r="O27" s="3"/>
      <c r="P27" s="3"/>
      <c r="Q27" s="3"/>
      <c r="R27" s="3"/>
      <c r="S27" s="3"/>
      <c r="T27" s="3"/>
      <c r="U27" s="3"/>
      <c r="V27" s="3"/>
      <c r="Y27" s="14"/>
      <c r="Z27" s="14"/>
      <c r="AA27" s="14"/>
      <c r="AB27" s="15"/>
      <c r="AC27" s="15"/>
    </row>
    <row r="28" spans="1:90">
      <c r="A28" s="20"/>
      <c r="B28" s="20"/>
      <c r="C28" s="20"/>
      <c r="D28" s="20"/>
      <c r="E28" s="22"/>
      <c r="F28" s="22"/>
      <c r="G28" s="11"/>
      <c r="H28" s="3"/>
      <c r="I28" s="5"/>
      <c r="J28" s="17"/>
      <c r="K28" s="5"/>
      <c r="L28" s="3"/>
      <c r="M28" s="3"/>
      <c r="N28" s="3"/>
      <c r="O28" s="3"/>
      <c r="P28" s="3"/>
      <c r="Q28" s="3"/>
      <c r="R28" s="3"/>
      <c r="S28" s="3"/>
      <c r="T28" s="3"/>
      <c r="U28" s="3"/>
      <c r="V28" s="3"/>
      <c r="Y28" s="14"/>
      <c r="AA28" s="14"/>
      <c r="AB28" s="15"/>
      <c r="AC28" s="15"/>
    </row>
    <row r="29" spans="1:90">
      <c r="A29" s="20"/>
      <c r="B29" s="20"/>
      <c r="C29" s="20"/>
      <c r="D29" s="20"/>
      <c r="E29" s="22"/>
      <c r="F29" s="22"/>
      <c r="G29" s="11"/>
      <c r="H29" s="3"/>
      <c r="I29" s="5"/>
      <c r="J29" s="17"/>
      <c r="K29" s="5"/>
      <c r="L29" s="3"/>
      <c r="M29" s="3"/>
      <c r="N29" s="3"/>
      <c r="O29" s="3"/>
      <c r="P29" s="3"/>
      <c r="Q29" s="3"/>
      <c r="R29" s="3"/>
      <c r="S29" s="3"/>
      <c r="T29" s="3"/>
      <c r="U29" s="3"/>
      <c r="V29" s="3"/>
      <c r="Y29" s="14"/>
      <c r="AA29" s="14"/>
      <c r="AB29" s="15"/>
      <c r="AC29" s="15"/>
    </row>
    <row r="30" spans="1:90">
      <c r="A30" s="20"/>
      <c r="B30" s="20"/>
      <c r="C30" s="20"/>
      <c r="D30" s="20"/>
      <c r="E30" s="22"/>
      <c r="F30" s="22"/>
      <c r="G30" s="11"/>
      <c r="H30" s="3"/>
      <c r="I30" s="5"/>
      <c r="J30" s="17"/>
      <c r="K30" s="5"/>
      <c r="L30" s="3"/>
      <c r="M30" s="3"/>
      <c r="N30" s="3"/>
      <c r="O30" s="3"/>
      <c r="P30" s="3"/>
      <c r="Q30" s="3"/>
      <c r="R30" s="3"/>
      <c r="S30" s="3"/>
      <c r="T30" s="3"/>
      <c r="U30" s="3"/>
      <c r="V30" s="3"/>
      <c r="Y30" s="14"/>
      <c r="AA30" s="14"/>
      <c r="AB30" s="15"/>
      <c r="AC30" s="15"/>
    </row>
    <row r="31" spans="1:90" ht="45">
      <c r="A31" s="20"/>
      <c r="B31" s="20"/>
      <c r="C31" s="20"/>
      <c r="D31" s="20"/>
      <c r="F31" s="22"/>
      <c r="G31" s="51" t="str">
        <f t="shared" ref="G31:W31" si="10">G1</f>
        <v>Duration (min)</v>
      </c>
      <c r="H31" s="51" t="str">
        <f t="shared" si="10"/>
        <v>Fuel (kg)</v>
      </c>
      <c r="I31" s="51" t="str">
        <f t="shared" si="10"/>
        <v>Wet Burn Rate (kg/hr)</v>
      </c>
      <c r="J31" s="51" t="str">
        <f t="shared" si="10"/>
        <v>MC (wet Basis)</v>
      </c>
      <c r="K31" s="51" t="str">
        <f t="shared" si="10"/>
        <v>Est. Dry Burn Rate (kg/hr)</v>
      </c>
      <c r="L31" s="51" t="str">
        <f t="shared" si="10"/>
        <v>Temp Chimney (°C)</v>
      </c>
      <c r="M31" s="51" t="str">
        <f t="shared" si="10"/>
        <v>Temp 6" (°C)</v>
      </c>
      <c r="N31" s="51" t="str">
        <f t="shared" si="10"/>
        <v>RH  6" (%)</v>
      </c>
      <c r="O31" s="51" t="str">
        <f t="shared" si="10"/>
        <v>Press 6" (hPa)</v>
      </c>
      <c r="P31" s="51" t="str">
        <f t="shared" si="10"/>
        <v>Vel 6" (fpm)</v>
      </c>
      <c r="Q31" s="51" t="str">
        <f t="shared" si="10"/>
        <v>Qdry 6" (cfm)</v>
      </c>
      <c r="R31" s="51" t="str">
        <f t="shared" si="10"/>
        <v>Temp 10" (°C)</v>
      </c>
      <c r="S31" s="51" t="str">
        <f t="shared" si="10"/>
        <v>RH 10" (%)</v>
      </c>
      <c r="T31" s="51" t="str">
        <f t="shared" si="10"/>
        <v>Press 10" (hPa)</v>
      </c>
      <c r="U31" s="51" t="str">
        <f t="shared" si="10"/>
        <v>Vel 10" (fpm)</v>
      </c>
      <c r="V31" s="51" t="str">
        <f t="shared" si="10"/>
        <v>Qdry 10" (cfm)</v>
      </c>
      <c r="W31" s="51" t="str">
        <f t="shared" si="10"/>
        <v>Temp Ambient (°C)</v>
      </c>
      <c r="Y31" s="14"/>
      <c r="AA31" s="51"/>
      <c r="AB31" s="51"/>
      <c r="AC31" s="51"/>
      <c r="AD31" s="51"/>
      <c r="AE31" s="51"/>
      <c r="AF31" s="51"/>
      <c r="AG31" s="51"/>
      <c r="AI31" s="51"/>
      <c r="AJ31" s="51"/>
      <c r="AK31" s="51"/>
      <c r="AL31" s="51"/>
      <c r="AM31" s="51"/>
      <c r="AN31" s="51"/>
      <c r="AP31" s="51"/>
      <c r="AQ31" s="51"/>
      <c r="AR31" s="51"/>
      <c r="AS31" s="51"/>
      <c r="AT31" s="51"/>
      <c r="AU31" s="51"/>
      <c r="AV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row>
    <row r="32" spans="1:90">
      <c r="A32" s="20"/>
      <c r="B32" s="20"/>
      <c r="C32" s="20" t="s">
        <v>500</v>
      </c>
      <c r="D32" s="20" t="s">
        <v>501</v>
      </c>
      <c r="E32" s="20" t="s">
        <v>500</v>
      </c>
      <c r="F32" s="22" t="s">
        <v>502</v>
      </c>
      <c r="G32" s="11">
        <f t="shared" ref="G32:W32" si="11">AVERAGE(G3,G5,G7,G9,G11,G13)</f>
        <v>28.5</v>
      </c>
      <c r="H32" s="5">
        <f t="shared" si="11"/>
        <v>2.7800666666666669</v>
      </c>
      <c r="I32" s="5">
        <f t="shared" si="11"/>
        <v>5.9919965411204537</v>
      </c>
      <c r="J32" s="110">
        <f t="shared" si="11"/>
        <v>0.17249999999999999</v>
      </c>
      <c r="K32" s="5">
        <f t="shared" si="11"/>
        <v>4.9336895995459891</v>
      </c>
      <c r="L32" s="26">
        <f t="shared" si="11"/>
        <v>236.61583333333331</v>
      </c>
      <c r="M32" s="26">
        <f t="shared" si="11"/>
        <v>53.901416666666677</v>
      </c>
      <c r="N32" s="26">
        <f t="shared" si="11"/>
        <v>43.256349999999998</v>
      </c>
      <c r="O32" s="11">
        <f t="shared" si="11"/>
        <v>999.59433333333334</v>
      </c>
      <c r="P32" s="11">
        <f t="shared" si="11"/>
        <v>1331.11</v>
      </c>
      <c r="Q32" s="5">
        <f t="shared" si="11"/>
        <v>7.0020283333333326</v>
      </c>
      <c r="R32" s="26">
        <f t="shared" si="11"/>
        <v>28.558783333333334</v>
      </c>
      <c r="S32" s="26">
        <f t="shared" si="11"/>
        <v>39.831733333333339</v>
      </c>
      <c r="T32" s="11">
        <f t="shared" si="11"/>
        <v>993.60033333333331</v>
      </c>
      <c r="U32" s="11">
        <f t="shared" si="11"/>
        <v>2221.9183333333335</v>
      </c>
      <c r="V32" s="5">
        <f t="shared" si="11"/>
        <v>33.055033333333334</v>
      </c>
      <c r="W32" s="26">
        <f t="shared" si="11"/>
        <v>21.843816666666665</v>
      </c>
      <c r="Y32" s="14"/>
      <c r="AA32" s="5"/>
      <c r="AB32" s="5"/>
      <c r="AC32" s="5"/>
      <c r="AD32" s="5"/>
      <c r="AE32" s="5"/>
      <c r="AF32" s="5"/>
      <c r="AG32" s="5"/>
      <c r="AI32" s="5"/>
      <c r="AJ32" s="5"/>
      <c r="AK32" s="5"/>
      <c r="AL32" s="5"/>
      <c r="AM32" s="5"/>
      <c r="AN32" s="5"/>
      <c r="AP32" s="5"/>
      <c r="AQ32" s="5"/>
      <c r="AR32" s="5"/>
      <c r="AS32" s="5"/>
      <c r="AT32" s="5"/>
      <c r="AU32" s="5"/>
      <c r="AV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row>
    <row r="33" spans="1:90">
      <c r="A33" s="20"/>
      <c r="B33" s="20"/>
      <c r="C33" s="20"/>
      <c r="D33" s="20"/>
      <c r="E33" s="20"/>
      <c r="F33" s="22" t="s">
        <v>503</v>
      </c>
      <c r="G33" s="11">
        <f t="shared" ref="G33:W33" si="12">STDEV(G3,G5,G7,G9,G11,G13)</f>
        <v>6.2209324059983162</v>
      </c>
      <c r="H33" s="5">
        <f t="shared" si="12"/>
        <v>0.60686059903956802</v>
      </c>
      <c r="I33" s="5">
        <f t="shared" si="12"/>
        <v>1.5477313626499312</v>
      </c>
      <c r="J33" s="110">
        <f t="shared" si="12"/>
        <v>3.273377460666578E-2</v>
      </c>
      <c r="K33" s="5">
        <f t="shared" si="12"/>
        <v>1.1899431968106122</v>
      </c>
      <c r="L33" s="26">
        <f t="shared" si="12"/>
        <v>34.432254421786993</v>
      </c>
      <c r="M33" s="26">
        <f t="shared" si="12"/>
        <v>8.2902275079557004</v>
      </c>
      <c r="N33" s="26">
        <f t="shared" si="12"/>
        <v>13.038932365305079</v>
      </c>
      <c r="O33" s="11">
        <f t="shared" si="12"/>
        <v>3.8704747856906057</v>
      </c>
      <c r="P33" s="11">
        <f t="shared" si="12"/>
        <v>206.04753849536777</v>
      </c>
      <c r="Q33" s="5">
        <f t="shared" si="12"/>
        <v>1.0838648069462717</v>
      </c>
      <c r="R33" s="26">
        <f t="shared" si="12"/>
        <v>2.321356037678552</v>
      </c>
      <c r="S33" s="26">
        <f t="shared" si="12"/>
        <v>9.7514665536352272</v>
      </c>
      <c r="T33" s="11">
        <f t="shared" si="12"/>
        <v>4.0197542047576285</v>
      </c>
      <c r="U33" s="11">
        <f t="shared" si="12"/>
        <v>10.932905225358311</v>
      </c>
      <c r="V33" s="5">
        <f t="shared" si="12"/>
        <v>0.16264206917850715</v>
      </c>
      <c r="W33" s="26">
        <f t="shared" si="12"/>
        <v>1.9638211949326418</v>
      </c>
      <c r="Y33" s="14"/>
      <c r="AA33" s="5"/>
      <c r="AB33" s="5"/>
      <c r="AC33" s="5"/>
      <c r="AD33" s="5"/>
      <c r="AE33" s="5"/>
      <c r="AF33" s="5"/>
      <c r="AG33" s="5"/>
      <c r="AI33" s="5"/>
      <c r="AJ33" s="5"/>
      <c r="AK33" s="5"/>
      <c r="AL33" s="5"/>
      <c r="AM33" s="5"/>
      <c r="AN33" s="5"/>
      <c r="AP33" s="5"/>
      <c r="AQ33" s="5"/>
      <c r="AR33" s="5"/>
      <c r="AS33" s="5"/>
      <c r="AT33" s="5"/>
      <c r="AU33" s="5"/>
      <c r="AV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row>
    <row r="34" spans="1:90" s="37" customFormat="1">
      <c r="A34" s="53"/>
      <c r="B34" s="53"/>
      <c r="C34" s="53"/>
      <c r="D34" s="53"/>
      <c r="E34" s="53"/>
      <c r="F34" s="54" t="s">
        <v>493</v>
      </c>
      <c r="G34" s="55">
        <f t="shared" ref="G34:W34" si="13">G33/G32</f>
        <v>0.21827833003502864</v>
      </c>
      <c r="H34" s="55">
        <f t="shared" si="13"/>
        <v>0.21828994473977889</v>
      </c>
      <c r="I34" s="55">
        <f t="shared" si="13"/>
        <v>0.25829977571390889</v>
      </c>
      <c r="J34" s="55">
        <f t="shared" si="13"/>
        <v>0.18976101221255526</v>
      </c>
      <c r="K34" s="55">
        <f t="shared" si="13"/>
        <v>0.24118728444531937</v>
      </c>
      <c r="L34" s="55">
        <f t="shared" si="13"/>
        <v>0.14551965494752181</v>
      </c>
      <c r="M34" s="55">
        <f t="shared" si="13"/>
        <v>0.15380351798958344</v>
      </c>
      <c r="N34" s="55">
        <f t="shared" si="13"/>
        <v>0.30143394820194214</v>
      </c>
      <c r="O34" s="55">
        <f t="shared" si="13"/>
        <v>3.8720455455002302E-3</v>
      </c>
      <c r="P34" s="55">
        <f t="shared" si="13"/>
        <v>0.15479377248714815</v>
      </c>
      <c r="Q34" s="55">
        <f t="shared" si="13"/>
        <v>0.15479297645605145</v>
      </c>
      <c r="R34" s="55">
        <f t="shared" si="13"/>
        <v>8.1283436012804647E-2</v>
      </c>
      <c r="S34" s="55">
        <f t="shared" si="13"/>
        <v>0.24481652535755141</v>
      </c>
      <c r="T34" s="55">
        <f t="shared" si="13"/>
        <v>4.045644984107589E-3</v>
      </c>
      <c r="U34" s="55">
        <f t="shared" si="13"/>
        <v>4.9204802270822936E-3</v>
      </c>
      <c r="V34" s="55">
        <f t="shared" si="13"/>
        <v>4.9203420108034123E-3</v>
      </c>
      <c r="W34" s="55">
        <f t="shared" si="13"/>
        <v>8.9902841838505415E-2</v>
      </c>
      <c r="Y34" s="56"/>
      <c r="AA34" s="55"/>
      <c r="AB34" s="55"/>
      <c r="AC34" s="55"/>
      <c r="AD34" s="55"/>
      <c r="AE34" s="55"/>
      <c r="AF34" s="55"/>
      <c r="AG34" s="55"/>
      <c r="AI34" s="55"/>
      <c r="AJ34" s="55"/>
      <c r="AK34" s="55"/>
      <c r="AL34" s="55"/>
      <c r="AM34" s="55"/>
      <c r="AN34" s="55"/>
      <c r="AP34" s="55"/>
      <c r="AQ34" s="55"/>
      <c r="AR34" s="55"/>
      <c r="AS34" s="55"/>
      <c r="AT34" s="55"/>
      <c r="AU34" s="55"/>
      <c r="AV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row>
    <row r="35" spans="1:90">
      <c r="A35" s="20"/>
      <c r="B35" s="20"/>
      <c r="C35" s="20" t="s">
        <v>500</v>
      </c>
      <c r="D35" s="20" t="s">
        <v>504</v>
      </c>
      <c r="E35" s="20" t="s">
        <v>500</v>
      </c>
      <c r="F35" s="22" t="s">
        <v>502</v>
      </c>
      <c r="G35" s="11">
        <f t="shared" ref="G35:W35" si="14">AVERAGE(G4,G6,G14)</f>
        <v>224.83333333333334</v>
      </c>
      <c r="H35" s="5">
        <f t="shared" si="14"/>
        <v>11.784700000000001</v>
      </c>
      <c r="I35" s="5">
        <f t="shared" si="14"/>
        <v>3.1555783139062079</v>
      </c>
      <c r="J35" s="110">
        <f t="shared" si="14"/>
        <v>0.18466666666666667</v>
      </c>
      <c r="K35" s="5">
        <f t="shared" si="14"/>
        <v>2.570081116616969</v>
      </c>
      <c r="L35" s="26">
        <f t="shared" si="14"/>
        <v>187.08433333333335</v>
      </c>
      <c r="M35" s="26">
        <f t="shared" si="14"/>
        <v>37.757100000000001</v>
      </c>
      <c r="N35" s="26">
        <f t="shared" si="14"/>
        <v>31.454633333333334</v>
      </c>
      <c r="O35" s="11">
        <f t="shared" si="14"/>
        <v>999.79266666666672</v>
      </c>
      <c r="P35" s="11">
        <f t="shared" si="14"/>
        <v>1449.2</v>
      </c>
      <c r="Q35" s="5">
        <f t="shared" si="14"/>
        <v>7.6232366666666671</v>
      </c>
      <c r="R35" s="26">
        <f t="shared" si="14"/>
        <v>25.977699999999999</v>
      </c>
      <c r="S35" s="26">
        <f t="shared" si="14"/>
        <v>32.834699999999998</v>
      </c>
      <c r="T35" s="11">
        <f t="shared" si="14"/>
        <v>993.6636666666667</v>
      </c>
      <c r="U35" s="11">
        <f t="shared" si="14"/>
        <v>2225.9699999999998</v>
      </c>
      <c r="V35" s="5">
        <f t="shared" si="14"/>
        <v>33.115366666666667</v>
      </c>
      <c r="W35" s="26">
        <f t="shared" si="14"/>
        <v>22.237333333333336</v>
      </c>
      <c r="Y35" s="14"/>
      <c r="AA35" s="5"/>
      <c r="AB35" s="5"/>
      <c r="AC35" s="5"/>
      <c r="AD35" s="5"/>
      <c r="AE35" s="5"/>
      <c r="AF35" s="5"/>
      <c r="AG35" s="5"/>
      <c r="AI35" s="5"/>
      <c r="AJ35" s="5"/>
      <c r="AK35" s="5"/>
      <c r="AL35" s="5"/>
      <c r="AM35" s="5"/>
      <c r="AN35" s="5"/>
      <c r="AP35" s="5"/>
      <c r="AQ35" s="5"/>
      <c r="AR35" s="5"/>
      <c r="AS35" s="5"/>
      <c r="AT35" s="5"/>
      <c r="AU35" s="5"/>
      <c r="AV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row>
    <row r="36" spans="1:90">
      <c r="A36" s="20"/>
      <c r="B36" s="20"/>
      <c r="C36" s="20"/>
      <c r="D36" s="20"/>
      <c r="E36" s="20"/>
      <c r="F36" s="22" t="s">
        <v>503</v>
      </c>
      <c r="G36" s="11">
        <f t="shared" ref="G36:W36" si="15">STDEV(G4,G6,G14)</f>
        <v>17.609183210283586</v>
      </c>
      <c r="H36" s="5">
        <f t="shared" si="15"/>
        <v>0.12935791433074409</v>
      </c>
      <c r="I36" s="5">
        <f t="shared" si="15"/>
        <v>0.20427013915954798</v>
      </c>
      <c r="J36" s="110">
        <f t="shared" si="15"/>
        <v>2.0526405757787539E-2</v>
      </c>
      <c r="K36" s="5">
        <f t="shared" si="15"/>
        <v>0.10495234658176228</v>
      </c>
      <c r="L36" s="26">
        <f t="shared" si="15"/>
        <v>5.82676594118327</v>
      </c>
      <c r="M36" s="26">
        <f t="shared" si="15"/>
        <v>1.7340854563717454</v>
      </c>
      <c r="N36" s="26">
        <f t="shared" si="15"/>
        <v>16.09735456537295</v>
      </c>
      <c r="O36" s="11">
        <f t="shared" si="15"/>
        <v>4.2398350596849053</v>
      </c>
      <c r="P36" s="11">
        <f t="shared" si="15"/>
        <v>34.704767683994156</v>
      </c>
      <c r="Q36" s="5">
        <f t="shared" si="15"/>
        <v>0.18255946875835638</v>
      </c>
      <c r="R36" s="26">
        <f t="shared" si="15"/>
        <v>1.0208434600858245</v>
      </c>
      <c r="S36" s="26">
        <f t="shared" si="15"/>
        <v>14.477729197978537</v>
      </c>
      <c r="T36" s="11">
        <f t="shared" si="15"/>
        <v>4.4986222705772239</v>
      </c>
      <c r="U36" s="11">
        <f t="shared" si="15"/>
        <v>14.384411701560794</v>
      </c>
      <c r="V36" s="5">
        <f t="shared" si="15"/>
        <v>0.21400972719326006</v>
      </c>
      <c r="W36" s="26">
        <f t="shared" si="15"/>
        <v>1.5442780718942213</v>
      </c>
      <c r="Y36" s="14"/>
      <c r="AA36" s="5"/>
      <c r="AB36" s="5"/>
      <c r="AC36" s="5"/>
      <c r="AD36" s="5"/>
      <c r="AE36" s="5"/>
      <c r="AF36" s="5"/>
      <c r="AG36" s="5"/>
      <c r="AI36" s="5"/>
      <c r="AJ36" s="5"/>
      <c r="AK36" s="5"/>
      <c r="AL36" s="5"/>
      <c r="AM36" s="5"/>
      <c r="AN36" s="5"/>
      <c r="AP36" s="5"/>
      <c r="AQ36" s="5"/>
      <c r="AR36" s="5"/>
      <c r="AS36" s="5"/>
      <c r="AT36" s="5"/>
      <c r="AU36" s="5"/>
      <c r="AV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row>
    <row r="37" spans="1:90" s="37" customFormat="1">
      <c r="A37" s="53"/>
      <c r="B37" s="53"/>
      <c r="C37" s="53"/>
      <c r="D37" s="53"/>
      <c r="E37" s="53"/>
      <c r="F37" s="54" t="s">
        <v>493</v>
      </c>
      <c r="G37" s="55">
        <f t="shared" ref="G37:W37" si="16">G36/G35</f>
        <v>7.8321052084285775E-2</v>
      </c>
      <c r="H37" s="55">
        <f t="shared" si="16"/>
        <v>1.0976767701404709E-2</v>
      </c>
      <c r="I37" s="55">
        <f t="shared" si="16"/>
        <v>6.4733027939556126E-2</v>
      </c>
      <c r="J37" s="55">
        <f t="shared" si="16"/>
        <v>0.11115382179307332</v>
      </c>
      <c r="K37" s="55">
        <f t="shared" si="16"/>
        <v>4.0836200033994415E-2</v>
      </c>
      <c r="L37" s="55">
        <f t="shared" si="16"/>
        <v>3.1145130312977942E-2</v>
      </c>
      <c r="M37" s="55">
        <f t="shared" si="16"/>
        <v>4.5927400578215628E-2</v>
      </c>
      <c r="N37" s="55">
        <f t="shared" si="16"/>
        <v>0.51176417778534855</v>
      </c>
      <c r="O37" s="55">
        <f t="shared" si="16"/>
        <v>4.2407143011166703E-3</v>
      </c>
      <c r="P37" s="55">
        <f t="shared" si="16"/>
        <v>2.3947534973774602E-2</v>
      </c>
      <c r="Q37" s="55">
        <f t="shared" si="16"/>
        <v>2.3947763494817777E-2</v>
      </c>
      <c r="R37" s="55">
        <f t="shared" si="16"/>
        <v>3.9296914664724916E-2</v>
      </c>
      <c r="S37" s="55">
        <f t="shared" si="16"/>
        <v>0.44092771360720634</v>
      </c>
      <c r="T37" s="55">
        <f t="shared" si="16"/>
        <v>4.5273088082894821E-3</v>
      </c>
      <c r="U37" s="55">
        <f t="shared" si="16"/>
        <v>6.4620869560509777E-3</v>
      </c>
      <c r="V37" s="55">
        <f t="shared" si="16"/>
        <v>6.4625504330797102E-3</v>
      </c>
      <c r="W37" s="55">
        <f t="shared" si="16"/>
        <v>6.944529043774228E-2</v>
      </c>
      <c r="Y37" s="56"/>
      <c r="AA37" s="55"/>
      <c r="AB37" s="55"/>
      <c r="AC37" s="55"/>
      <c r="AD37" s="55"/>
      <c r="AE37" s="55"/>
      <c r="AF37" s="55"/>
      <c r="AG37" s="55"/>
      <c r="AI37" s="55"/>
      <c r="AJ37" s="55"/>
      <c r="AK37" s="55"/>
      <c r="AL37" s="55"/>
      <c r="AM37" s="55"/>
      <c r="AN37" s="55"/>
      <c r="AP37" s="55"/>
      <c r="AQ37" s="55"/>
      <c r="AR37" s="55"/>
      <c r="AS37" s="55"/>
      <c r="AT37" s="55"/>
      <c r="AU37" s="55"/>
      <c r="AV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row>
    <row r="38" spans="1:90">
      <c r="A38" s="20"/>
      <c r="B38" s="20"/>
      <c r="C38" s="20" t="s">
        <v>500</v>
      </c>
      <c r="D38" s="20" t="s">
        <v>505</v>
      </c>
      <c r="E38" s="20" t="s">
        <v>500</v>
      </c>
      <c r="F38" s="22" t="s">
        <v>502</v>
      </c>
      <c r="G38" s="11">
        <f>AVERAGE(G8,G10,G12)</f>
        <v>452.33333333333331</v>
      </c>
      <c r="H38" s="5">
        <f t="shared" ref="H38:W38" si="17">AVERAGE(H8,H10,H12)</f>
        <v>15.653333333333336</v>
      </c>
      <c r="I38" s="5">
        <f t="shared" si="17"/>
        <v>2.1209057172471808</v>
      </c>
      <c r="J38" s="110">
        <f t="shared" si="17"/>
        <v>0.19233333333333333</v>
      </c>
      <c r="K38" s="5">
        <f t="shared" si="17"/>
        <v>1.7144810940652404</v>
      </c>
      <c r="L38" s="26">
        <f t="shared" si="17"/>
        <v>127.18100000000003</v>
      </c>
      <c r="M38" s="26">
        <f t="shared" si="17"/>
        <v>32.776400000000002</v>
      </c>
      <c r="N38" s="26">
        <f t="shared" si="17"/>
        <v>48.51926666666666</v>
      </c>
      <c r="O38" s="11">
        <f t="shared" si="17"/>
        <v>997.976</v>
      </c>
      <c r="P38" s="11">
        <f t="shared" si="17"/>
        <v>1442.8999999999999</v>
      </c>
      <c r="Q38" s="5">
        <f t="shared" si="17"/>
        <v>7.5900966666666667</v>
      </c>
      <c r="R38" s="26">
        <f t="shared" si="17"/>
        <v>26.284433333333329</v>
      </c>
      <c r="S38" s="26">
        <f t="shared" si="17"/>
        <v>47.845433333333325</v>
      </c>
      <c r="T38" s="11">
        <f t="shared" si="17"/>
        <v>991.95933333333335</v>
      </c>
      <c r="U38" s="11">
        <f t="shared" si="17"/>
        <v>2213.94</v>
      </c>
      <c r="V38" s="5">
        <f t="shared" si="17"/>
        <v>32.936299999999996</v>
      </c>
      <c r="W38" s="26">
        <f t="shared" si="17"/>
        <v>23.70096666666667</v>
      </c>
      <c r="Y38" s="14"/>
      <c r="AA38" s="5"/>
      <c r="AB38" s="5"/>
      <c r="AC38" s="5"/>
      <c r="AD38" s="5"/>
      <c r="AE38" s="5"/>
      <c r="AF38" s="5"/>
      <c r="AG38" s="5"/>
      <c r="AI38" s="5"/>
      <c r="AJ38" s="5"/>
      <c r="AK38" s="5"/>
      <c r="AL38" s="5"/>
      <c r="AM38" s="5"/>
      <c r="AN38" s="5"/>
      <c r="AP38" s="5"/>
      <c r="AQ38" s="5"/>
      <c r="AR38" s="5"/>
      <c r="AS38" s="5"/>
      <c r="AT38" s="5"/>
      <c r="AU38" s="5"/>
      <c r="AV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row>
    <row r="39" spans="1:90">
      <c r="A39" s="20"/>
      <c r="B39" s="20"/>
      <c r="C39" s="20"/>
      <c r="D39" s="20"/>
      <c r="E39" s="20"/>
      <c r="F39" s="22" t="s">
        <v>503</v>
      </c>
      <c r="G39" s="11">
        <f>STDEV(G8,G10,G12)</f>
        <v>75.936376877839734</v>
      </c>
      <c r="H39" s="5">
        <f t="shared" ref="H39:W39" si="18">STDEV(H8,H10,H12)</f>
        <v>0.61076454819622128</v>
      </c>
      <c r="I39" s="5">
        <f t="shared" si="18"/>
        <v>0.39819894589466343</v>
      </c>
      <c r="J39" s="110">
        <f t="shared" si="18"/>
        <v>2.7610384519838369E-2</v>
      </c>
      <c r="K39" s="5">
        <f t="shared" si="18"/>
        <v>0.33819437712447858</v>
      </c>
      <c r="L39" s="26">
        <f t="shared" si="18"/>
        <v>16.1533055131138</v>
      </c>
      <c r="M39" s="26">
        <f t="shared" si="18"/>
        <v>1.757198574436025</v>
      </c>
      <c r="N39" s="26">
        <f t="shared" si="18"/>
        <v>5.3930659335236504</v>
      </c>
      <c r="O39" s="11">
        <f t="shared" si="18"/>
        <v>4.268505944707143</v>
      </c>
      <c r="P39" s="11">
        <f t="shared" si="18"/>
        <v>8.1788568883433292</v>
      </c>
      <c r="Q39" s="5">
        <f t="shared" si="18"/>
        <v>4.3020856957217232E-2</v>
      </c>
      <c r="R39" s="26">
        <f t="shared" si="18"/>
        <v>0.38752213270126112</v>
      </c>
      <c r="S39" s="26">
        <f t="shared" si="18"/>
        <v>5.3251526262946989</v>
      </c>
      <c r="T39" s="11">
        <f t="shared" si="18"/>
        <v>4.3530340376952141</v>
      </c>
      <c r="U39" s="11">
        <f t="shared" si="18"/>
        <v>1.2665306944561558</v>
      </c>
      <c r="V39" s="5">
        <f t="shared" si="18"/>
        <v>1.8872466717417886E-2</v>
      </c>
      <c r="W39" s="26">
        <f t="shared" si="18"/>
        <v>0.19134286851966545</v>
      </c>
      <c r="Y39" s="14"/>
      <c r="AA39" s="5"/>
      <c r="AB39" s="5"/>
      <c r="AC39" s="5"/>
      <c r="AD39" s="5"/>
      <c r="AE39" s="5"/>
      <c r="AF39" s="5"/>
      <c r="AG39" s="5"/>
      <c r="AI39" s="5"/>
      <c r="AJ39" s="5"/>
      <c r="AK39" s="5"/>
      <c r="AL39" s="5"/>
      <c r="AM39" s="5"/>
      <c r="AN39" s="5"/>
      <c r="AP39" s="5"/>
      <c r="AQ39" s="5"/>
      <c r="AR39" s="5"/>
      <c r="AS39" s="5"/>
      <c r="AT39" s="5"/>
      <c r="AU39" s="5"/>
      <c r="AV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row>
    <row r="40" spans="1:90" s="37" customFormat="1">
      <c r="A40" s="53"/>
      <c r="B40" s="53"/>
      <c r="C40" s="53"/>
      <c r="D40" s="53"/>
      <c r="E40" s="53"/>
      <c r="F40" s="54" t="s">
        <v>493</v>
      </c>
      <c r="G40" s="55">
        <f t="shared" ref="G40:W40" si="19">G39/G38</f>
        <v>0.16787703068055948</v>
      </c>
      <c r="H40" s="55">
        <f t="shared" si="19"/>
        <v>3.9018178121564384E-2</v>
      </c>
      <c r="I40" s="55">
        <f t="shared" si="19"/>
        <v>0.18774948016619231</v>
      </c>
      <c r="J40" s="55">
        <f t="shared" si="19"/>
        <v>0.14355485885531213</v>
      </c>
      <c r="K40" s="55">
        <f t="shared" si="19"/>
        <v>0.19725757157378687</v>
      </c>
      <c r="L40" s="55">
        <f t="shared" si="19"/>
        <v>0.12701036721769601</v>
      </c>
      <c r="M40" s="55">
        <f t="shared" si="19"/>
        <v>5.3611701542452032E-2</v>
      </c>
      <c r="N40" s="55">
        <f t="shared" si="19"/>
        <v>0.11115308008619912</v>
      </c>
      <c r="O40" s="55">
        <f t="shared" si="19"/>
        <v>4.2771629224622066E-3</v>
      </c>
      <c r="P40" s="55">
        <f t="shared" si="19"/>
        <v>5.6683463083674057E-3</v>
      </c>
      <c r="Q40" s="55">
        <f t="shared" si="19"/>
        <v>5.6680249075287004E-3</v>
      </c>
      <c r="R40" s="55">
        <f t="shared" si="19"/>
        <v>1.4743408305090385E-2</v>
      </c>
      <c r="S40" s="55">
        <f t="shared" si="19"/>
        <v>0.11129907820449669</v>
      </c>
      <c r="T40" s="55">
        <f t="shared" si="19"/>
        <v>4.3883190483903047E-3</v>
      </c>
      <c r="U40" s="55">
        <f t="shared" si="19"/>
        <v>5.7207092082719308E-4</v>
      </c>
      <c r="V40" s="55">
        <f t="shared" si="19"/>
        <v>5.7299899252247178E-4</v>
      </c>
      <c r="W40" s="55">
        <f t="shared" si="19"/>
        <v>8.0732094690792681E-3</v>
      </c>
      <c r="Y40" s="56"/>
      <c r="AA40" s="55"/>
      <c r="AB40" s="55"/>
      <c r="AC40" s="55"/>
      <c r="AD40" s="55"/>
      <c r="AE40" s="55"/>
      <c r="AF40" s="55"/>
      <c r="AG40" s="55"/>
      <c r="AI40" s="55"/>
      <c r="AJ40" s="55"/>
      <c r="AK40" s="55"/>
      <c r="AL40" s="55"/>
      <c r="AM40" s="55"/>
      <c r="AN40" s="55"/>
      <c r="AP40" s="55"/>
      <c r="AQ40" s="55"/>
      <c r="AR40" s="55"/>
      <c r="AS40" s="55"/>
      <c r="AT40" s="55"/>
      <c r="AU40" s="55"/>
      <c r="AV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row>
    <row r="41" spans="1:90">
      <c r="A41" s="20"/>
      <c r="B41" s="20"/>
      <c r="C41" s="20" t="s">
        <v>506</v>
      </c>
      <c r="D41" s="20" t="s">
        <v>501</v>
      </c>
      <c r="E41" s="20" t="s">
        <v>506</v>
      </c>
      <c r="F41" s="22" t="s">
        <v>502</v>
      </c>
      <c r="G41" s="11">
        <f t="shared" ref="G41:W41" si="20">AVERAGE(G15,G17,G19,G21,G23)</f>
        <v>34</v>
      </c>
      <c r="H41" s="5">
        <f t="shared" si="20"/>
        <v>3.3029999999999999</v>
      </c>
      <c r="I41" s="5">
        <f t="shared" si="20"/>
        <v>6.1724615906562859</v>
      </c>
      <c r="J41" s="110">
        <f t="shared" si="20"/>
        <v>0.15720000000000001</v>
      </c>
      <c r="K41" s="5">
        <f t="shared" si="20"/>
        <v>5.2079340068409348</v>
      </c>
      <c r="L41" s="26">
        <f t="shared" si="20"/>
        <v>233.36779999999999</v>
      </c>
      <c r="M41" s="26">
        <f t="shared" si="20"/>
        <v>51.847200000000001</v>
      </c>
      <c r="N41" s="26">
        <f t="shared" si="20"/>
        <v>55.046500000000002</v>
      </c>
      <c r="O41" s="11">
        <f t="shared" si="20"/>
        <v>1005.2732</v>
      </c>
      <c r="P41" s="11">
        <f t="shared" si="20"/>
        <v>1510.9559999999999</v>
      </c>
      <c r="Q41" s="5">
        <f t="shared" si="20"/>
        <v>7.9480740000000001</v>
      </c>
      <c r="R41" s="26">
        <f t="shared" si="20"/>
        <v>29.055160000000001</v>
      </c>
      <c r="S41" s="26">
        <f t="shared" si="20"/>
        <v>50.618340000000003</v>
      </c>
      <c r="T41" s="11">
        <f t="shared" si="20"/>
        <v>999.01200000000006</v>
      </c>
      <c r="U41" s="11">
        <f t="shared" si="20"/>
        <v>2197.7419999999997</v>
      </c>
      <c r="V41" s="5">
        <f t="shared" si="20"/>
        <v>32.695340000000002</v>
      </c>
      <c r="W41" s="26">
        <f t="shared" si="20"/>
        <v>23.720620000000004</v>
      </c>
      <c r="Y41" s="14"/>
      <c r="AA41" s="5"/>
      <c r="AB41" s="5"/>
      <c r="AC41" s="5"/>
      <c r="AD41" s="5"/>
      <c r="AE41" s="5"/>
      <c r="AF41" s="5"/>
      <c r="AG41" s="5"/>
      <c r="AI41" s="5"/>
      <c r="AJ41" s="5"/>
      <c r="AK41" s="5"/>
      <c r="AL41" s="5"/>
      <c r="AM41" s="5"/>
      <c r="AN41" s="5"/>
      <c r="AP41" s="5"/>
      <c r="AQ41" s="5"/>
      <c r="AR41" s="5"/>
      <c r="AS41" s="5"/>
      <c r="AT41" s="5"/>
      <c r="AU41" s="5"/>
      <c r="AV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row>
    <row r="42" spans="1:90">
      <c r="A42" s="20"/>
      <c r="B42" s="20"/>
      <c r="C42" s="20"/>
      <c r="D42" s="20"/>
      <c r="E42" s="20"/>
      <c r="F42" s="22" t="s">
        <v>503</v>
      </c>
      <c r="G42" s="11">
        <f t="shared" ref="G42:W42" si="21">STDEV(G15,G17,G19,G21,G23)</f>
        <v>11.423659658795863</v>
      </c>
      <c r="H42" s="5">
        <f t="shared" si="21"/>
        <v>0.52038407931065622</v>
      </c>
      <c r="I42" s="5">
        <f t="shared" si="21"/>
        <v>1.4280538076508187</v>
      </c>
      <c r="J42" s="110">
        <f t="shared" si="21"/>
        <v>2.2895414388038392E-2</v>
      </c>
      <c r="K42" s="5">
        <f t="shared" si="21"/>
        <v>1.2366093934100091</v>
      </c>
      <c r="L42" s="26">
        <f t="shared" si="21"/>
        <v>37.049773355582104</v>
      </c>
      <c r="M42" s="26">
        <f t="shared" si="21"/>
        <v>7.1443477697408371</v>
      </c>
      <c r="N42" s="26">
        <f t="shared" si="21"/>
        <v>5.4976542183916965</v>
      </c>
      <c r="O42" s="11">
        <f t="shared" si="21"/>
        <v>4.6164695601726047</v>
      </c>
      <c r="P42" s="11">
        <f t="shared" si="21"/>
        <v>31.776046481587361</v>
      </c>
      <c r="Q42" s="5">
        <f t="shared" si="21"/>
        <v>0.16714087241007231</v>
      </c>
      <c r="R42" s="26">
        <f t="shared" si="21"/>
        <v>0.7585543902713896</v>
      </c>
      <c r="S42" s="26">
        <f t="shared" si="21"/>
        <v>7.0668002789805868</v>
      </c>
      <c r="T42" s="11">
        <f t="shared" si="21"/>
        <v>4.6035023080259405</v>
      </c>
      <c r="U42" s="11">
        <f t="shared" si="21"/>
        <v>13.070612839496015</v>
      </c>
      <c r="V42" s="5">
        <f t="shared" si="21"/>
        <v>0.1944343539604059</v>
      </c>
      <c r="W42" s="26">
        <f t="shared" si="21"/>
        <v>0.81474037091578977</v>
      </c>
      <c r="Y42" s="14"/>
      <c r="AA42" s="5"/>
      <c r="AB42" s="5"/>
      <c r="AC42" s="5"/>
      <c r="AD42" s="5"/>
      <c r="AE42" s="5"/>
      <c r="AF42" s="5"/>
      <c r="AG42" s="5"/>
      <c r="AI42" s="5"/>
      <c r="AJ42" s="5"/>
      <c r="AK42" s="5"/>
      <c r="AL42" s="5"/>
      <c r="AM42" s="5"/>
      <c r="AN42" s="5"/>
      <c r="AP42" s="5"/>
      <c r="AQ42" s="5"/>
      <c r="AR42" s="5"/>
      <c r="AS42" s="5"/>
      <c r="AT42" s="5"/>
      <c r="AU42" s="5"/>
      <c r="AV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row>
    <row r="43" spans="1:90" s="37" customFormat="1">
      <c r="A43" s="53"/>
      <c r="B43" s="53"/>
      <c r="C43" s="53"/>
      <c r="D43" s="53"/>
      <c r="E43" s="53"/>
      <c r="F43" s="54" t="s">
        <v>493</v>
      </c>
      <c r="G43" s="55">
        <f t="shared" ref="G43:W43" si="22">G42/G41</f>
        <v>0.33598998996458418</v>
      </c>
      <c r="H43" s="55">
        <f t="shared" si="22"/>
        <v>0.15754891895569367</v>
      </c>
      <c r="I43" s="55">
        <f t="shared" si="22"/>
        <v>0.23135888116542838</v>
      </c>
      <c r="J43" s="55">
        <f t="shared" si="22"/>
        <v>0.1456451296949007</v>
      </c>
      <c r="K43" s="55">
        <f t="shared" si="22"/>
        <v>0.23744720877523567</v>
      </c>
      <c r="L43" s="55">
        <f t="shared" si="22"/>
        <v>0.1587612916417008</v>
      </c>
      <c r="M43" s="55">
        <f t="shared" si="22"/>
        <v>0.13779621213374757</v>
      </c>
      <c r="N43" s="55">
        <f t="shared" si="22"/>
        <v>9.9872911418377119E-2</v>
      </c>
      <c r="O43" s="55">
        <f t="shared" si="22"/>
        <v>4.5922536880249115E-3</v>
      </c>
      <c r="P43" s="55">
        <f t="shared" si="22"/>
        <v>2.10304247652396E-2</v>
      </c>
      <c r="Q43" s="55">
        <f t="shared" si="22"/>
        <v>2.1029103706139664E-2</v>
      </c>
      <c r="R43" s="55">
        <f t="shared" si="22"/>
        <v>2.6107389884323113E-2</v>
      </c>
      <c r="S43" s="55">
        <f t="shared" si="22"/>
        <v>0.13960948302493892</v>
      </c>
      <c r="T43" s="55">
        <f t="shared" si="22"/>
        <v>4.6080550664315744E-3</v>
      </c>
      <c r="U43" s="55">
        <f t="shared" si="22"/>
        <v>5.9472917382913989E-3</v>
      </c>
      <c r="V43" s="55">
        <f t="shared" si="22"/>
        <v>5.9468521801701981E-3</v>
      </c>
      <c r="W43" s="55">
        <f t="shared" si="22"/>
        <v>3.4347347199010385E-2</v>
      </c>
      <c r="Y43" s="56"/>
      <c r="AA43" s="55"/>
      <c r="AB43" s="55"/>
      <c r="AC43" s="55"/>
      <c r="AD43" s="55"/>
      <c r="AE43" s="55"/>
      <c r="AF43" s="55"/>
      <c r="AG43" s="55"/>
      <c r="AI43" s="55"/>
      <c r="AJ43" s="55"/>
      <c r="AK43" s="55"/>
      <c r="AL43" s="55"/>
      <c r="AM43" s="55"/>
      <c r="AN43" s="55"/>
      <c r="AP43" s="55"/>
      <c r="AQ43" s="55"/>
      <c r="AR43" s="55"/>
      <c r="AS43" s="55"/>
      <c r="AT43" s="55"/>
      <c r="AU43" s="55"/>
      <c r="AV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row>
    <row r="44" spans="1:90">
      <c r="A44" s="20"/>
      <c r="B44" s="20"/>
      <c r="C44" s="20" t="s">
        <v>506</v>
      </c>
      <c r="D44" s="20" t="s">
        <v>504</v>
      </c>
      <c r="E44" s="20" t="s">
        <v>506</v>
      </c>
      <c r="F44" s="22" t="s">
        <v>502</v>
      </c>
      <c r="G44" s="11">
        <f t="shared" ref="G44:W44" si="23">AVERAGE(G16,G24)</f>
        <v>210</v>
      </c>
      <c r="H44" s="5">
        <f t="shared" si="23"/>
        <v>12.007999999999999</v>
      </c>
      <c r="I44" s="5">
        <f t="shared" si="23"/>
        <v>3.4342696078431372</v>
      </c>
      <c r="J44" s="110">
        <f t="shared" si="23"/>
        <v>0.19850000000000001</v>
      </c>
      <c r="K44" s="5">
        <f t="shared" si="23"/>
        <v>2.7516713186274506</v>
      </c>
      <c r="L44" s="26">
        <f t="shared" si="23"/>
        <v>212.577</v>
      </c>
      <c r="M44" s="26">
        <f t="shared" si="23"/>
        <v>42.461550000000003</v>
      </c>
      <c r="N44" s="26">
        <f t="shared" si="23"/>
        <v>44.000150000000005</v>
      </c>
      <c r="O44" s="11">
        <f t="shared" si="23"/>
        <v>1009.105</v>
      </c>
      <c r="P44" s="11">
        <f t="shared" si="23"/>
        <v>1553.27</v>
      </c>
      <c r="Q44" s="5">
        <f t="shared" si="23"/>
        <v>8.1706599999999998</v>
      </c>
      <c r="R44" s="26">
        <f t="shared" si="23"/>
        <v>27.977650000000001</v>
      </c>
      <c r="S44" s="26">
        <f t="shared" si="23"/>
        <v>42.28125</v>
      </c>
      <c r="T44" s="11">
        <f t="shared" si="23"/>
        <v>1002.81</v>
      </c>
      <c r="U44" s="11">
        <f t="shared" si="23"/>
        <v>2189.63</v>
      </c>
      <c r="V44" s="5">
        <f t="shared" si="23"/>
        <v>32.5747</v>
      </c>
      <c r="W44" s="26">
        <f t="shared" si="23"/>
        <v>24.084499999999998</v>
      </c>
      <c r="Y44" s="14"/>
      <c r="AA44" s="5"/>
      <c r="AB44" s="5"/>
      <c r="AC44" s="5"/>
      <c r="AD44" s="5"/>
      <c r="AE44" s="5"/>
      <c r="AF44" s="5"/>
      <c r="AG44" s="5"/>
      <c r="AI44" s="5"/>
      <c r="AJ44" s="5"/>
      <c r="AK44" s="5"/>
      <c r="AL44" s="5"/>
      <c r="AM44" s="5"/>
      <c r="AN44" s="5"/>
      <c r="AP44" s="5"/>
      <c r="AQ44" s="5"/>
      <c r="AR44" s="5"/>
      <c r="AS44" s="5"/>
      <c r="AT44" s="5"/>
      <c r="AU44" s="5"/>
      <c r="AV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row>
    <row r="45" spans="1:90">
      <c r="A45" s="20"/>
      <c r="B45" s="20"/>
      <c r="C45" s="20"/>
      <c r="D45" s="20"/>
      <c r="E45" s="20"/>
      <c r="F45" s="22" t="s">
        <v>503</v>
      </c>
      <c r="G45" s="11">
        <f t="shared" ref="G45:W45" si="24">STDEV(G16,G24)</f>
        <v>8.4852813742385695</v>
      </c>
      <c r="H45" s="5">
        <f t="shared" si="24"/>
        <v>0.10550033175303195</v>
      </c>
      <c r="I45" s="5">
        <f t="shared" si="24"/>
        <v>0.16890839925108031</v>
      </c>
      <c r="J45" s="110">
        <f t="shared" si="24"/>
        <v>1.0606601717798203E-2</v>
      </c>
      <c r="K45" s="5">
        <f t="shared" si="24"/>
        <v>9.8954152077810081E-2</v>
      </c>
      <c r="L45" s="26">
        <f t="shared" si="24"/>
        <v>2.1142492757477833</v>
      </c>
      <c r="M45" s="26">
        <f t="shared" si="24"/>
        <v>0.56745319190220578</v>
      </c>
      <c r="N45" s="26">
        <f t="shared" si="24"/>
        <v>3.2727023153656996</v>
      </c>
      <c r="O45" s="11">
        <f t="shared" si="24"/>
        <v>3.273904396893712</v>
      </c>
      <c r="P45" s="11">
        <f t="shared" si="24"/>
        <v>48.18225607005126</v>
      </c>
      <c r="Q45" s="5">
        <f t="shared" si="24"/>
        <v>0.25346949678412983</v>
      </c>
      <c r="R45" s="26">
        <f t="shared" si="24"/>
        <v>0.70562185694605672</v>
      </c>
      <c r="S45" s="26">
        <f t="shared" si="24"/>
        <v>2.86837865788323</v>
      </c>
      <c r="T45" s="11">
        <f t="shared" si="24"/>
        <v>2.8284271247461903</v>
      </c>
      <c r="U45" s="11">
        <f t="shared" si="24"/>
        <v>38.070629099083824</v>
      </c>
      <c r="V45" s="5">
        <f t="shared" si="24"/>
        <v>0.56625111037418385</v>
      </c>
      <c r="W45" s="26">
        <f t="shared" si="24"/>
        <v>0.6252238159251452</v>
      </c>
      <c r="Y45" s="14"/>
      <c r="AA45" s="5"/>
      <c r="AB45" s="5"/>
      <c r="AC45" s="5"/>
      <c r="AD45" s="5"/>
      <c r="AE45" s="5"/>
      <c r="AF45" s="5"/>
      <c r="AG45" s="5"/>
      <c r="AI45" s="5"/>
      <c r="AJ45" s="5"/>
      <c r="AK45" s="5"/>
      <c r="AL45" s="5"/>
      <c r="AM45" s="5"/>
      <c r="AN45" s="5"/>
      <c r="AP45" s="5"/>
      <c r="AQ45" s="5"/>
      <c r="AR45" s="5"/>
      <c r="AS45" s="5"/>
      <c r="AT45" s="5"/>
      <c r="AU45" s="5"/>
      <c r="AV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row>
    <row r="46" spans="1:90" s="37" customFormat="1">
      <c r="A46" s="53"/>
      <c r="B46" s="53"/>
      <c r="C46" s="53"/>
      <c r="D46" s="53"/>
      <c r="E46" s="53"/>
      <c r="F46" s="54" t="s">
        <v>493</v>
      </c>
      <c r="G46" s="55">
        <f t="shared" ref="G46:W46" si="25">G45/G44</f>
        <v>4.0406101782088429E-2</v>
      </c>
      <c r="H46" s="55">
        <f t="shared" si="25"/>
        <v>8.7858370880273106E-3</v>
      </c>
      <c r="I46" s="55">
        <f t="shared" si="25"/>
        <v>4.918320881544351E-2</v>
      </c>
      <c r="J46" s="55">
        <f t="shared" si="25"/>
        <v>5.343376180250984E-2</v>
      </c>
      <c r="K46" s="55">
        <f t="shared" si="25"/>
        <v>3.5961472363337701E-2</v>
      </c>
      <c r="L46" s="55">
        <f t="shared" si="25"/>
        <v>9.9458044649599134E-3</v>
      </c>
      <c r="M46" s="55">
        <f t="shared" si="25"/>
        <v>1.3363930235759311E-2</v>
      </c>
      <c r="N46" s="55">
        <f t="shared" si="25"/>
        <v>7.4379344510545967E-2</v>
      </c>
      <c r="O46" s="55">
        <f t="shared" si="25"/>
        <v>3.2443644584990777E-3</v>
      </c>
      <c r="P46" s="55">
        <f t="shared" si="25"/>
        <v>3.1019884546827827E-2</v>
      </c>
      <c r="Q46" s="55">
        <f t="shared" si="25"/>
        <v>3.1021912156928552E-2</v>
      </c>
      <c r="R46" s="55">
        <f t="shared" si="25"/>
        <v>2.522091229771109E-2</v>
      </c>
      <c r="S46" s="55">
        <f t="shared" si="25"/>
        <v>6.7840441280312899E-2</v>
      </c>
      <c r="T46" s="55">
        <f t="shared" si="25"/>
        <v>2.8205015154876699E-3</v>
      </c>
      <c r="U46" s="55">
        <f t="shared" si="25"/>
        <v>1.7386786397283478E-2</v>
      </c>
      <c r="V46" s="55">
        <f t="shared" si="25"/>
        <v>1.7383156571639458E-2</v>
      </c>
      <c r="W46" s="55">
        <f t="shared" si="25"/>
        <v>2.5959592930106301E-2</v>
      </c>
      <c r="Y46" s="56"/>
      <c r="AA46" s="55"/>
      <c r="AB46" s="55"/>
      <c r="AC46" s="55"/>
      <c r="AD46" s="55"/>
      <c r="AE46" s="55"/>
      <c r="AF46" s="55"/>
      <c r="AG46" s="55"/>
      <c r="AI46" s="55"/>
      <c r="AJ46" s="55"/>
      <c r="AK46" s="55"/>
      <c r="AL46" s="55"/>
      <c r="AM46" s="55"/>
      <c r="AN46" s="55"/>
      <c r="AP46" s="55"/>
      <c r="AQ46" s="55"/>
      <c r="AR46" s="55"/>
      <c r="AS46" s="55"/>
      <c r="AT46" s="55"/>
      <c r="AU46" s="55"/>
      <c r="AV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row>
    <row r="47" spans="1:90">
      <c r="A47" s="20"/>
      <c r="B47" s="20"/>
      <c r="C47" s="20" t="s">
        <v>506</v>
      </c>
      <c r="D47" s="20" t="s">
        <v>505</v>
      </c>
      <c r="E47" s="20" t="s">
        <v>506</v>
      </c>
      <c r="F47" s="22" t="s">
        <v>502</v>
      </c>
      <c r="G47" s="11">
        <f t="shared" ref="G47:W47" si="26">AVERAGE(G18,G20,G22)</f>
        <v>480.16666666666669</v>
      </c>
      <c r="H47" s="5">
        <f t="shared" si="26"/>
        <v>15.020000000000001</v>
      </c>
      <c r="I47" s="5">
        <f t="shared" si="26"/>
        <v>1.8817014242853978</v>
      </c>
      <c r="J47" s="110">
        <f t="shared" si="26"/>
        <v>0.20666666666666667</v>
      </c>
      <c r="K47" s="5">
        <f t="shared" si="26"/>
        <v>1.4930991771082438</v>
      </c>
      <c r="L47" s="26">
        <f t="shared" si="26"/>
        <v>140.99766666666667</v>
      </c>
      <c r="M47" s="26">
        <f t="shared" si="26"/>
        <v>34.190766666666669</v>
      </c>
      <c r="N47" s="26">
        <f t="shared" si="26"/>
        <v>48.665399999999998</v>
      </c>
      <c r="O47" s="11">
        <f t="shared" si="26"/>
        <v>1000.723</v>
      </c>
      <c r="P47" s="11">
        <f t="shared" si="26"/>
        <v>1513.3999999999999</v>
      </c>
      <c r="Q47" s="5">
        <f t="shared" si="26"/>
        <v>7.9609433333333328</v>
      </c>
      <c r="R47" s="26">
        <f t="shared" si="26"/>
        <v>25.934433333333335</v>
      </c>
      <c r="S47" s="26">
        <f t="shared" si="26"/>
        <v>48.183466666666668</v>
      </c>
      <c r="T47" s="11">
        <f t="shared" si="26"/>
        <v>994.48100000000011</v>
      </c>
      <c r="U47" s="11">
        <f t="shared" si="26"/>
        <v>2197.4366666666665</v>
      </c>
      <c r="V47" s="5">
        <f t="shared" si="26"/>
        <v>32.69083333333333</v>
      </c>
      <c r="W47" s="26">
        <f t="shared" si="26"/>
        <v>23.816266666666667</v>
      </c>
      <c r="Y47" s="14"/>
      <c r="AA47" s="5"/>
      <c r="AB47" s="5"/>
      <c r="AC47" s="5"/>
      <c r="AD47" s="5"/>
      <c r="AE47" s="5"/>
      <c r="AF47" s="5"/>
      <c r="AG47" s="5"/>
      <c r="AI47" s="5"/>
      <c r="AJ47" s="5"/>
      <c r="AK47" s="5"/>
      <c r="AL47" s="5"/>
      <c r="AM47" s="5"/>
      <c r="AN47" s="5"/>
      <c r="AP47" s="5"/>
      <c r="AQ47" s="5"/>
      <c r="AR47" s="5"/>
      <c r="AS47" s="5"/>
      <c r="AT47" s="5"/>
      <c r="AU47" s="5"/>
      <c r="AV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row>
    <row r="48" spans="1:90">
      <c r="A48" s="20"/>
      <c r="B48" s="20"/>
      <c r="C48" s="20"/>
      <c r="D48" s="20"/>
      <c r="E48" s="20"/>
      <c r="F48" s="22" t="s">
        <v>503</v>
      </c>
      <c r="G48" s="11">
        <f t="shared" ref="G48:W48" si="27">STDEV(G18,G20,G22)</f>
        <v>29.859392715414248</v>
      </c>
      <c r="H48" s="5">
        <f t="shared" si="27"/>
        <v>0.21794494717703372</v>
      </c>
      <c r="I48" s="5">
        <f t="shared" si="27"/>
        <v>0.11931802680851532</v>
      </c>
      <c r="J48" s="110">
        <f t="shared" si="27"/>
        <v>3.7859388972001857E-3</v>
      </c>
      <c r="K48" s="5">
        <f t="shared" si="27"/>
        <v>0.10125305076190008</v>
      </c>
      <c r="L48" s="26">
        <f t="shared" si="27"/>
        <v>3.6701057659600616</v>
      </c>
      <c r="M48" s="26">
        <f t="shared" si="27"/>
        <v>0.60085108249326913</v>
      </c>
      <c r="N48" s="26">
        <f t="shared" si="27"/>
        <v>3.1195092450576252</v>
      </c>
      <c r="O48" s="11">
        <f t="shared" si="27"/>
        <v>3.781958355138229</v>
      </c>
      <c r="P48" s="11">
        <f t="shared" si="27"/>
        <v>33.316096710148919</v>
      </c>
      <c r="Q48" s="5">
        <f t="shared" si="27"/>
        <v>0.17525869488654008</v>
      </c>
      <c r="R48" s="26">
        <f t="shared" si="27"/>
        <v>0.40275397370272387</v>
      </c>
      <c r="S48" s="26">
        <f t="shared" si="27"/>
        <v>2.4855832803053142</v>
      </c>
      <c r="T48" s="11">
        <f t="shared" si="27"/>
        <v>3.677710021195236</v>
      </c>
      <c r="U48" s="11">
        <f t="shared" si="27"/>
        <v>5.3823538840672152</v>
      </c>
      <c r="V48" s="5">
        <f t="shared" si="27"/>
        <v>8.0070302443123118E-2</v>
      </c>
      <c r="W48" s="26">
        <f t="shared" si="27"/>
        <v>0.17976235238039423</v>
      </c>
      <c r="Y48" s="14"/>
      <c r="AA48" s="5"/>
      <c r="AB48" s="5"/>
      <c r="AC48" s="5"/>
      <c r="AD48" s="5"/>
      <c r="AE48" s="5"/>
      <c r="AF48" s="5"/>
      <c r="AG48" s="5"/>
      <c r="AI48" s="5"/>
      <c r="AJ48" s="5"/>
      <c r="AK48" s="5"/>
      <c r="AL48" s="5"/>
      <c r="AM48" s="5"/>
      <c r="AN48" s="5"/>
      <c r="AP48" s="5"/>
      <c r="AQ48" s="5"/>
      <c r="AR48" s="5"/>
      <c r="AS48" s="5"/>
      <c r="AT48" s="5"/>
      <c r="AU48" s="5"/>
      <c r="AV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row>
    <row r="49" spans="1:90" s="37" customFormat="1">
      <c r="A49" s="53"/>
      <c r="B49" s="53"/>
      <c r="C49" s="53"/>
      <c r="D49" s="53"/>
      <c r="E49" s="53"/>
      <c r="F49" s="54" t="s">
        <v>493</v>
      </c>
      <c r="G49" s="55">
        <f t="shared" ref="G49:W49" si="28">G48/G47</f>
        <v>6.2185475977954006E-2</v>
      </c>
      <c r="H49" s="55">
        <f t="shared" si="28"/>
        <v>1.45103160570595E-2</v>
      </c>
      <c r="I49" s="55">
        <f t="shared" si="28"/>
        <v>6.3409648985001968E-2</v>
      </c>
      <c r="J49" s="55">
        <f t="shared" si="28"/>
        <v>1.8319059180000898E-2</v>
      </c>
      <c r="K49" s="55">
        <f t="shared" si="28"/>
        <v>6.7814015515032078E-2</v>
      </c>
      <c r="L49" s="55">
        <f t="shared" si="28"/>
        <v>2.6029549656566855E-2</v>
      </c>
      <c r="M49" s="55">
        <f t="shared" si="28"/>
        <v>1.75734896017717E-2</v>
      </c>
      <c r="N49" s="55">
        <f t="shared" si="28"/>
        <v>6.4101173422136171E-2</v>
      </c>
      <c r="O49" s="55">
        <f t="shared" si="28"/>
        <v>3.7792259747584786E-3</v>
      </c>
      <c r="P49" s="55">
        <f t="shared" si="28"/>
        <v>2.2014072096041313E-2</v>
      </c>
      <c r="Q49" s="55">
        <f t="shared" si="28"/>
        <v>2.2014815022324417E-2</v>
      </c>
      <c r="R49" s="55">
        <f t="shared" si="28"/>
        <v>1.5529700168349821E-2</v>
      </c>
      <c r="S49" s="55">
        <f t="shared" si="28"/>
        <v>5.1585812567214909E-2</v>
      </c>
      <c r="T49" s="55">
        <f t="shared" si="28"/>
        <v>3.6981199451726434E-3</v>
      </c>
      <c r="U49" s="55">
        <f t="shared" si="28"/>
        <v>2.4493783896997632E-3</v>
      </c>
      <c r="V49" s="55">
        <f t="shared" si="28"/>
        <v>2.449319710717779E-3</v>
      </c>
      <c r="W49" s="55">
        <f t="shared" si="28"/>
        <v>7.5478812400093867E-3</v>
      </c>
      <c r="Y49" s="56"/>
      <c r="AA49" s="55"/>
      <c r="AB49" s="55"/>
      <c r="AC49" s="55"/>
      <c r="AD49" s="55"/>
      <c r="AE49" s="55"/>
      <c r="AF49" s="55"/>
      <c r="AG49" s="55"/>
      <c r="AI49" s="55"/>
      <c r="AJ49" s="55"/>
      <c r="AK49" s="55"/>
      <c r="AL49" s="55"/>
      <c r="AM49" s="55"/>
      <c r="AN49" s="55"/>
      <c r="AP49" s="55"/>
      <c r="AQ49" s="55"/>
      <c r="AR49" s="55"/>
      <c r="AS49" s="55"/>
      <c r="AT49" s="55"/>
      <c r="AU49" s="55"/>
      <c r="AV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row>
    <row r="50" spans="1:90" ht="45">
      <c r="A50" s="4"/>
      <c r="B50" s="3"/>
      <c r="C50" s="3"/>
      <c r="D50" s="3"/>
      <c r="E50" s="22" t="s">
        <v>507</v>
      </c>
      <c r="F50" s="22" t="s">
        <v>507</v>
      </c>
      <c r="G50" s="11" t="str">
        <f t="shared" ref="G50:W50" si="29">G1</f>
        <v>Duration (min)</v>
      </c>
      <c r="H50" s="11" t="str">
        <f t="shared" si="29"/>
        <v>Fuel (kg)</v>
      </c>
      <c r="I50" s="11" t="str">
        <f t="shared" si="29"/>
        <v>Wet Burn Rate (kg/hr)</v>
      </c>
      <c r="J50" s="11" t="str">
        <f t="shared" si="29"/>
        <v>MC (wet Basis)</v>
      </c>
      <c r="K50" s="11" t="str">
        <f t="shared" si="29"/>
        <v>Est. Dry Burn Rate (kg/hr)</v>
      </c>
      <c r="L50" s="11" t="str">
        <f t="shared" si="29"/>
        <v>Temp Chimney (°C)</v>
      </c>
      <c r="M50" s="11" t="str">
        <f t="shared" si="29"/>
        <v>Temp 6" (°C)</v>
      </c>
      <c r="N50" s="11" t="str">
        <f t="shared" si="29"/>
        <v>RH  6" (%)</v>
      </c>
      <c r="O50" s="11" t="str">
        <f t="shared" si="29"/>
        <v>Press 6" (hPa)</v>
      </c>
      <c r="P50" s="11" t="str">
        <f t="shared" si="29"/>
        <v>Vel 6" (fpm)</v>
      </c>
      <c r="Q50" s="11" t="str">
        <f t="shared" si="29"/>
        <v>Qdry 6" (cfm)</v>
      </c>
      <c r="R50" s="11" t="str">
        <f t="shared" si="29"/>
        <v>Temp 10" (°C)</v>
      </c>
      <c r="S50" s="11" t="str">
        <f t="shared" si="29"/>
        <v>RH 10" (%)</v>
      </c>
      <c r="T50" s="11" t="str">
        <f t="shared" si="29"/>
        <v>Press 10" (hPa)</v>
      </c>
      <c r="U50" s="11" t="str">
        <f t="shared" si="29"/>
        <v>Vel 10" (fpm)</v>
      </c>
      <c r="V50" s="11" t="str">
        <f t="shared" si="29"/>
        <v>Qdry 10" (cfm)</v>
      </c>
      <c r="W50" s="11" t="str">
        <f t="shared" si="29"/>
        <v>Temp Ambient (°C)</v>
      </c>
      <c r="Y50" s="14"/>
      <c r="Z50" s="14"/>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row>
    <row r="51" spans="1:90">
      <c r="A51" s="4"/>
      <c r="B51" s="49"/>
      <c r="C51" s="3"/>
      <c r="D51" s="3"/>
      <c r="E51" s="22" t="s">
        <v>500</v>
      </c>
      <c r="F51" s="22" t="s">
        <v>501</v>
      </c>
      <c r="G51" s="11">
        <f t="shared" ref="G51" si="30">G32</f>
        <v>28.5</v>
      </c>
      <c r="H51" s="5">
        <f t="shared" ref="H51:T51" si="31">H32</f>
        <v>2.7800666666666669</v>
      </c>
      <c r="I51" s="5">
        <f t="shared" si="31"/>
        <v>5.9919965411204537</v>
      </c>
      <c r="J51" s="110">
        <f t="shared" si="31"/>
        <v>0.17249999999999999</v>
      </c>
      <c r="K51" s="5">
        <f t="shared" si="31"/>
        <v>4.9336895995459891</v>
      </c>
      <c r="L51" s="26">
        <f t="shared" si="31"/>
        <v>236.61583333333331</v>
      </c>
      <c r="M51" s="26">
        <f t="shared" si="31"/>
        <v>53.901416666666677</v>
      </c>
      <c r="N51" s="26">
        <f t="shared" si="31"/>
        <v>43.256349999999998</v>
      </c>
      <c r="O51" s="11">
        <f t="shared" si="31"/>
        <v>999.59433333333334</v>
      </c>
      <c r="P51" s="11">
        <f t="shared" si="31"/>
        <v>1331.11</v>
      </c>
      <c r="Q51" s="5">
        <f t="shared" si="31"/>
        <v>7.0020283333333326</v>
      </c>
      <c r="R51" s="26">
        <f t="shared" si="31"/>
        <v>28.558783333333334</v>
      </c>
      <c r="S51" s="26">
        <f t="shared" si="31"/>
        <v>39.831733333333339</v>
      </c>
      <c r="T51" s="11">
        <f t="shared" si="31"/>
        <v>993.60033333333331</v>
      </c>
      <c r="U51" s="11">
        <f t="shared" ref="U51:W51" si="32">U32</f>
        <v>2221.9183333333335</v>
      </c>
      <c r="V51" s="5">
        <f t="shared" si="32"/>
        <v>33.055033333333334</v>
      </c>
      <c r="W51" s="26">
        <f t="shared" si="32"/>
        <v>21.843816666666665</v>
      </c>
      <c r="Y51" s="14"/>
      <c r="Z51" s="14"/>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row>
    <row r="52" spans="1:90">
      <c r="A52" s="4"/>
      <c r="B52" s="3"/>
      <c r="C52" s="3"/>
      <c r="D52" s="3"/>
      <c r="E52" s="22" t="s">
        <v>500</v>
      </c>
      <c r="F52" s="22" t="s">
        <v>504</v>
      </c>
      <c r="G52" s="11">
        <f t="shared" ref="G52" si="33">G35</f>
        <v>224.83333333333334</v>
      </c>
      <c r="H52" s="5">
        <f t="shared" ref="H52:T52" si="34">H35</f>
        <v>11.784700000000001</v>
      </c>
      <c r="I52" s="5">
        <f t="shared" si="34"/>
        <v>3.1555783139062079</v>
      </c>
      <c r="J52" s="110">
        <f t="shared" si="34"/>
        <v>0.18466666666666667</v>
      </c>
      <c r="K52" s="5">
        <f t="shared" si="34"/>
        <v>2.570081116616969</v>
      </c>
      <c r="L52" s="26">
        <f t="shared" si="34"/>
        <v>187.08433333333335</v>
      </c>
      <c r="M52" s="26">
        <f t="shared" si="34"/>
        <v>37.757100000000001</v>
      </c>
      <c r="N52" s="26">
        <f t="shared" si="34"/>
        <v>31.454633333333334</v>
      </c>
      <c r="O52" s="11">
        <f t="shared" si="34"/>
        <v>999.79266666666672</v>
      </c>
      <c r="P52" s="11">
        <f t="shared" si="34"/>
        <v>1449.2</v>
      </c>
      <c r="Q52" s="5">
        <f t="shared" si="34"/>
        <v>7.6232366666666671</v>
      </c>
      <c r="R52" s="26">
        <f t="shared" si="34"/>
        <v>25.977699999999999</v>
      </c>
      <c r="S52" s="26">
        <f t="shared" si="34"/>
        <v>32.834699999999998</v>
      </c>
      <c r="T52" s="11">
        <f t="shared" si="34"/>
        <v>993.6636666666667</v>
      </c>
      <c r="U52" s="11">
        <f t="shared" ref="U52:W52" si="35">U35</f>
        <v>2225.9699999999998</v>
      </c>
      <c r="V52" s="5">
        <f t="shared" si="35"/>
        <v>33.115366666666667</v>
      </c>
      <c r="W52" s="26">
        <f t="shared" si="35"/>
        <v>22.237333333333336</v>
      </c>
      <c r="Y52" s="14"/>
      <c r="Z52" s="14"/>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row>
    <row r="53" spans="1:90">
      <c r="A53" s="4"/>
      <c r="B53" s="3"/>
      <c r="C53" s="3"/>
      <c r="D53" s="3"/>
      <c r="E53" s="22" t="s">
        <v>500</v>
      </c>
      <c r="F53" s="22" t="s">
        <v>505</v>
      </c>
      <c r="G53" s="11">
        <f t="shared" ref="G53" si="36">G38</f>
        <v>452.33333333333331</v>
      </c>
      <c r="H53" s="5">
        <f t="shared" ref="H53:T53" si="37">H38</f>
        <v>15.653333333333336</v>
      </c>
      <c r="I53" s="5">
        <f t="shared" si="37"/>
        <v>2.1209057172471808</v>
      </c>
      <c r="J53" s="110">
        <f t="shared" si="37"/>
        <v>0.19233333333333333</v>
      </c>
      <c r="K53" s="5">
        <f t="shared" si="37"/>
        <v>1.7144810940652404</v>
      </c>
      <c r="L53" s="26">
        <f t="shared" si="37"/>
        <v>127.18100000000003</v>
      </c>
      <c r="M53" s="26">
        <f t="shared" si="37"/>
        <v>32.776400000000002</v>
      </c>
      <c r="N53" s="26">
        <f t="shared" si="37"/>
        <v>48.51926666666666</v>
      </c>
      <c r="O53" s="11">
        <f t="shared" si="37"/>
        <v>997.976</v>
      </c>
      <c r="P53" s="11">
        <f t="shared" si="37"/>
        <v>1442.8999999999999</v>
      </c>
      <c r="Q53" s="5">
        <f t="shared" si="37"/>
        <v>7.5900966666666667</v>
      </c>
      <c r="R53" s="26">
        <f t="shared" si="37"/>
        <v>26.284433333333329</v>
      </c>
      <c r="S53" s="26">
        <f t="shared" si="37"/>
        <v>47.845433333333325</v>
      </c>
      <c r="T53" s="11">
        <f t="shared" si="37"/>
        <v>991.95933333333335</v>
      </c>
      <c r="U53" s="11">
        <f t="shared" ref="U53:W53" si="38">U38</f>
        <v>2213.94</v>
      </c>
      <c r="V53" s="5">
        <f t="shared" si="38"/>
        <v>32.936299999999996</v>
      </c>
      <c r="W53" s="26">
        <f t="shared" si="38"/>
        <v>23.70096666666667</v>
      </c>
      <c r="Y53" s="14"/>
      <c r="Z53" s="14"/>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row>
    <row r="54" spans="1:90">
      <c r="A54" s="4"/>
      <c r="B54" s="3"/>
      <c r="C54" s="3"/>
      <c r="D54" s="3"/>
      <c r="E54" s="22" t="s">
        <v>506</v>
      </c>
      <c r="F54" s="22" t="s">
        <v>501</v>
      </c>
      <c r="G54" s="11">
        <f t="shared" ref="G54" si="39">G41</f>
        <v>34</v>
      </c>
      <c r="H54" s="5">
        <f t="shared" ref="H54:T54" si="40">H41</f>
        <v>3.3029999999999999</v>
      </c>
      <c r="I54" s="5">
        <f t="shared" si="40"/>
        <v>6.1724615906562859</v>
      </c>
      <c r="J54" s="110">
        <f t="shared" si="40"/>
        <v>0.15720000000000001</v>
      </c>
      <c r="K54" s="5">
        <f t="shared" si="40"/>
        <v>5.2079340068409348</v>
      </c>
      <c r="L54" s="26">
        <f t="shared" si="40"/>
        <v>233.36779999999999</v>
      </c>
      <c r="M54" s="26">
        <f t="shared" si="40"/>
        <v>51.847200000000001</v>
      </c>
      <c r="N54" s="26">
        <f t="shared" si="40"/>
        <v>55.046500000000002</v>
      </c>
      <c r="O54" s="11">
        <f t="shared" si="40"/>
        <v>1005.2732</v>
      </c>
      <c r="P54" s="11">
        <f t="shared" si="40"/>
        <v>1510.9559999999999</v>
      </c>
      <c r="Q54" s="5">
        <f t="shared" si="40"/>
        <v>7.9480740000000001</v>
      </c>
      <c r="R54" s="26">
        <f t="shared" si="40"/>
        <v>29.055160000000001</v>
      </c>
      <c r="S54" s="26">
        <f t="shared" si="40"/>
        <v>50.618340000000003</v>
      </c>
      <c r="T54" s="11">
        <f t="shared" si="40"/>
        <v>999.01200000000006</v>
      </c>
      <c r="U54" s="11">
        <f t="shared" ref="U54:W54" si="41">U41</f>
        <v>2197.7419999999997</v>
      </c>
      <c r="V54" s="5">
        <f t="shared" si="41"/>
        <v>32.695340000000002</v>
      </c>
      <c r="W54" s="26">
        <f t="shared" si="41"/>
        <v>23.720620000000004</v>
      </c>
      <c r="Y54" s="14"/>
      <c r="Z54" s="14"/>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row>
    <row r="55" spans="1:90">
      <c r="A55" s="4"/>
      <c r="B55" s="3"/>
      <c r="C55" s="3"/>
      <c r="D55" s="3"/>
      <c r="E55" s="22" t="s">
        <v>506</v>
      </c>
      <c r="F55" s="22" t="s">
        <v>504</v>
      </c>
      <c r="G55" s="11">
        <f t="shared" ref="G55" si="42">G44</f>
        <v>210</v>
      </c>
      <c r="H55" s="5">
        <f t="shared" ref="H55:T55" si="43">H44</f>
        <v>12.007999999999999</v>
      </c>
      <c r="I55" s="5">
        <f t="shared" si="43"/>
        <v>3.4342696078431372</v>
      </c>
      <c r="J55" s="110">
        <f t="shared" si="43"/>
        <v>0.19850000000000001</v>
      </c>
      <c r="K55" s="5">
        <f t="shared" si="43"/>
        <v>2.7516713186274506</v>
      </c>
      <c r="L55" s="26">
        <f t="shared" si="43"/>
        <v>212.577</v>
      </c>
      <c r="M55" s="26">
        <f t="shared" si="43"/>
        <v>42.461550000000003</v>
      </c>
      <c r="N55" s="26">
        <f t="shared" si="43"/>
        <v>44.000150000000005</v>
      </c>
      <c r="O55" s="11">
        <f t="shared" si="43"/>
        <v>1009.105</v>
      </c>
      <c r="P55" s="11">
        <f t="shared" si="43"/>
        <v>1553.27</v>
      </c>
      <c r="Q55" s="5">
        <f t="shared" si="43"/>
        <v>8.1706599999999998</v>
      </c>
      <c r="R55" s="26">
        <f t="shared" si="43"/>
        <v>27.977650000000001</v>
      </c>
      <c r="S55" s="26">
        <f t="shared" si="43"/>
        <v>42.28125</v>
      </c>
      <c r="T55" s="11">
        <f t="shared" si="43"/>
        <v>1002.81</v>
      </c>
      <c r="U55" s="11">
        <f t="shared" ref="U55:W55" si="44">U44</f>
        <v>2189.63</v>
      </c>
      <c r="V55" s="5">
        <f t="shared" si="44"/>
        <v>32.5747</v>
      </c>
      <c r="W55" s="26">
        <f t="shared" si="44"/>
        <v>24.084499999999998</v>
      </c>
      <c r="Y55" s="14"/>
      <c r="Z55" s="14"/>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row>
    <row r="56" spans="1:90">
      <c r="A56" s="4"/>
      <c r="B56" s="3"/>
      <c r="C56" s="3"/>
      <c r="D56" s="3"/>
      <c r="E56" s="22" t="s">
        <v>506</v>
      </c>
      <c r="F56" s="22" t="s">
        <v>505</v>
      </c>
      <c r="G56" s="11">
        <f t="shared" ref="G56" si="45">G47</f>
        <v>480.16666666666669</v>
      </c>
      <c r="H56" s="5">
        <f t="shared" ref="H56:T56" si="46">H47</f>
        <v>15.020000000000001</v>
      </c>
      <c r="I56" s="5">
        <f t="shared" si="46"/>
        <v>1.8817014242853978</v>
      </c>
      <c r="J56" s="110">
        <f t="shared" si="46"/>
        <v>0.20666666666666667</v>
      </c>
      <c r="K56" s="5">
        <f t="shared" si="46"/>
        <v>1.4930991771082438</v>
      </c>
      <c r="L56" s="26">
        <f t="shared" si="46"/>
        <v>140.99766666666667</v>
      </c>
      <c r="M56" s="26">
        <f t="shared" si="46"/>
        <v>34.190766666666669</v>
      </c>
      <c r="N56" s="26">
        <f t="shared" si="46"/>
        <v>48.665399999999998</v>
      </c>
      <c r="O56" s="11">
        <f t="shared" si="46"/>
        <v>1000.723</v>
      </c>
      <c r="P56" s="11">
        <f t="shared" si="46"/>
        <v>1513.3999999999999</v>
      </c>
      <c r="Q56" s="5">
        <f t="shared" si="46"/>
        <v>7.9609433333333328</v>
      </c>
      <c r="R56" s="26">
        <f t="shared" si="46"/>
        <v>25.934433333333335</v>
      </c>
      <c r="S56" s="26">
        <f t="shared" si="46"/>
        <v>48.183466666666668</v>
      </c>
      <c r="T56" s="11">
        <f t="shared" si="46"/>
        <v>994.48100000000011</v>
      </c>
      <c r="U56" s="11">
        <f t="shared" ref="U56:W56" si="47">U47</f>
        <v>2197.4366666666665</v>
      </c>
      <c r="V56" s="5">
        <f t="shared" si="47"/>
        <v>32.69083333333333</v>
      </c>
      <c r="W56" s="26">
        <f t="shared" si="47"/>
        <v>23.816266666666667</v>
      </c>
      <c r="Y56" s="14"/>
      <c r="Z56" s="14"/>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row>
    <row r="57" spans="1:90">
      <c r="A57" s="4"/>
      <c r="B57" s="3"/>
      <c r="C57" s="3"/>
      <c r="D57" s="3"/>
      <c r="E57" s="22"/>
      <c r="F57" s="22"/>
      <c r="G57" s="11"/>
      <c r="H57" s="5"/>
      <c r="I57" s="5"/>
      <c r="J57" s="110"/>
      <c r="K57" s="5"/>
      <c r="L57" s="26"/>
      <c r="M57" s="26"/>
      <c r="N57" s="26"/>
      <c r="O57" s="11"/>
      <c r="P57" s="11"/>
      <c r="Q57" s="5"/>
      <c r="R57" s="26"/>
      <c r="S57" s="26"/>
      <c r="T57" s="11"/>
      <c r="U57" s="11"/>
      <c r="V57" s="5"/>
      <c r="W57" s="26"/>
      <c r="Y57" s="14"/>
      <c r="Z57" s="14"/>
      <c r="AA57" s="26"/>
      <c r="AB57" s="26"/>
      <c r="AC57" s="26"/>
      <c r="AD57" s="26"/>
      <c r="AE57" s="26"/>
      <c r="AF57" s="26"/>
      <c r="AG57" s="26"/>
    </row>
    <row r="58" spans="1:90">
      <c r="A58" s="4"/>
      <c r="B58" s="3"/>
      <c r="C58" s="3"/>
      <c r="D58" s="3"/>
      <c r="E58" s="22" t="s">
        <v>503</v>
      </c>
      <c r="F58" s="22"/>
      <c r="G58" s="11"/>
      <c r="H58" s="5"/>
      <c r="I58" s="5"/>
      <c r="J58" s="110"/>
      <c r="K58" s="5"/>
      <c r="L58" s="26"/>
      <c r="M58" s="26"/>
      <c r="N58" s="26"/>
      <c r="O58" s="11"/>
      <c r="P58" s="11"/>
      <c r="Q58" s="5"/>
      <c r="R58" s="26"/>
      <c r="S58" s="26"/>
      <c r="T58" s="11"/>
      <c r="U58" s="11"/>
      <c r="V58" s="5"/>
      <c r="W58" s="26"/>
      <c r="Y58" s="14"/>
      <c r="Z58" s="14"/>
      <c r="AA58" s="26"/>
      <c r="AB58" s="26"/>
      <c r="AC58" s="26"/>
      <c r="AD58" s="26"/>
      <c r="AE58" s="26"/>
      <c r="AF58" s="26"/>
      <c r="AG58" s="26"/>
    </row>
    <row r="59" spans="1:90">
      <c r="A59" s="4"/>
      <c r="B59" s="3"/>
      <c r="C59" s="3"/>
      <c r="D59" s="3"/>
      <c r="E59" s="22" t="s">
        <v>500</v>
      </c>
      <c r="F59" s="22" t="str">
        <f t="shared" ref="F59:F64" si="48">F51</f>
        <v>Startup</v>
      </c>
      <c r="G59" s="11">
        <f t="shared" ref="G59" si="49">G33</f>
        <v>6.2209324059983162</v>
      </c>
      <c r="H59" s="5">
        <f t="shared" ref="H59:T59" si="50">H33</f>
        <v>0.60686059903956802</v>
      </c>
      <c r="I59" s="5">
        <f t="shared" si="50"/>
        <v>1.5477313626499312</v>
      </c>
      <c r="J59" s="110">
        <f t="shared" si="50"/>
        <v>3.273377460666578E-2</v>
      </c>
      <c r="K59" s="5">
        <f t="shared" si="50"/>
        <v>1.1899431968106122</v>
      </c>
      <c r="L59" s="26">
        <f t="shared" si="50"/>
        <v>34.432254421786993</v>
      </c>
      <c r="M59" s="26">
        <f t="shared" si="50"/>
        <v>8.2902275079557004</v>
      </c>
      <c r="N59" s="26">
        <f t="shared" si="50"/>
        <v>13.038932365305079</v>
      </c>
      <c r="O59" s="11">
        <f t="shared" si="50"/>
        <v>3.8704747856906057</v>
      </c>
      <c r="P59" s="11">
        <f t="shared" si="50"/>
        <v>206.04753849536777</v>
      </c>
      <c r="Q59" s="5">
        <f t="shared" si="50"/>
        <v>1.0838648069462717</v>
      </c>
      <c r="R59" s="26">
        <f t="shared" si="50"/>
        <v>2.321356037678552</v>
      </c>
      <c r="S59" s="26">
        <f t="shared" si="50"/>
        <v>9.7514665536352272</v>
      </c>
      <c r="T59" s="11">
        <f t="shared" si="50"/>
        <v>4.0197542047576285</v>
      </c>
      <c r="U59" s="11">
        <f t="shared" ref="U59:W59" si="51">U33</f>
        <v>10.932905225358311</v>
      </c>
      <c r="V59" s="5">
        <f t="shared" si="51"/>
        <v>0.16264206917850715</v>
      </c>
      <c r="W59" s="26">
        <f t="shared" si="51"/>
        <v>1.9638211949326418</v>
      </c>
      <c r="Y59" s="14"/>
      <c r="Z59" s="14"/>
      <c r="AA59" s="26"/>
      <c r="AB59" s="26"/>
      <c r="AC59" s="26"/>
      <c r="AD59" s="26"/>
      <c r="AE59" s="26"/>
      <c r="AF59" s="26"/>
      <c r="AG59" s="26"/>
    </row>
    <row r="60" spans="1:90">
      <c r="A60" s="4"/>
      <c r="B60" s="3"/>
      <c r="C60" s="3"/>
      <c r="D60" s="3"/>
      <c r="E60" s="22" t="s">
        <v>500</v>
      </c>
      <c r="F60" s="22" t="str">
        <f t="shared" si="48"/>
        <v>High</v>
      </c>
      <c r="G60" s="11">
        <f t="shared" ref="G60" si="52">G36</f>
        <v>17.609183210283586</v>
      </c>
      <c r="H60" s="5">
        <f t="shared" ref="H60:T60" si="53">H36</f>
        <v>0.12935791433074409</v>
      </c>
      <c r="I60" s="5">
        <f t="shared" si="53"/>
        <v>0.20427013915954798</v>
      </c>
      <c r="J60" s="110">
        <f t="shared" si="53"/>
        <v>2.0526405757787539E-2</v>
      </c>
      <c r="K60" s="5">
        <f t="shared" si="53"/>
        <v>0.10495234658176228</v>
      </c>
      <c r="L60" s="26">
        <f t="shared" si="53"/>
        <v>5.82676594118327</v>
      </c>
      <c r="M60" s="26">
        <f t="shared" si="53"/>
        <v>1.7340854563717454</v>
      </c>
      <c r="N60" s="26">
        <f t="shared" si="53"/>
        <v>16.09735456537295</v>
      </c>
      <c r="O60" s="11">
        <f t="shared" si="53"/>
        <v>4.2398350596849053</v>
      </c>
      <c r="P60" s="11">
        <f t="shared" si="53"/>
        <v>34.704767683994156</v>
      </c>
      <c r="Q60" s="5">
        <f t="shared" si="53"/>
        <v>0.18255946875835638</v>
      </c>
      <c r="R60" s="26">
        <f t="shared" si="53"/>
        <v>1.0208434600858245</v>
      </c>
      <c r="S60" s="26">
        <f t="shared" si="53"/>
        <v>14.477729197978537</v>
      </c>
      <c r="T60" s="11">
        <f t="shared" si="53"/>
        <v>4.4986222705772239</v>
      </c>
      <c r="U60" s="11">
        <f t="shared" ref="U60:W60" si="54">U36</f>
        <v>14.384411701560794</v>
      </c>
      <c r="V60" s="5">
        <f t="shared" si="54"/>
        <v>0.21400972719326006</v>
      </c>
      <c r="W60" s="26">
        <f t="shared" si="54"/>
        <v>1.5442780718942213</v>
      </c>
      <c r="Y60" s="14"/>
      <c r="Z60" s="14"/>
      <c r="AA60" s="26"/>
      <c r="AB60" s="26"/>
      <c r="AC60" s="26"/>
      <c r="AD60" s="26"/>
      <c r="AE60" s="26"/>
      <c r="AF60" s="26"/>
      <c r="AG60" s="26"/>
    </row>
    <row r="61" spans="1:90">
      <c r="A61" s="4"/>
      <c r="B61" s="3"/>
      <c r="C61" s="3"/>
      <c r="D61" s="3"/>
      <c r="E61" s="22" t="s">
        <v>500</v>
      </c>
      <c r="F61" s="22" t="str">
        <f t="shared" si="48"/>
        <v>Low</v>
      </c>
      <c r="G61" s="11">
        <f t="shared" ref="G61" si="55">G39</f>
        <v>75.936376877839734</v>
      </c>
      <c r="H61" s="5">
        <f t="shared" ref="H61:T61" si="56">H39</f>
        <v>0.61076454819622128</v>
      </c>
      <c r="I61" s="5">
        <f t="shared" si="56"/>
        <v>0.39819894589466343</v>
      </c>
      <c r="J61" s="110">
        <f t="shared" si="56"/>
        <v>2.7610384519838369E-2</v>
      </c>
      <c r="K61" s="5">
        <f t="shared" si="56"/>
        <v>0.33819437712447858</v>
      </c>
      <c r="L61" s="26">
        <f t="shared" si="56"/>
        <v>16.1533055131138</v>
      </c>
      <c r="M61" s="26">
        <f t="shared" si="56"/>
        <v>1.757198574436025</v>
      </c>
      <c r="N61" s="26">
        <f t="shared" si="56"/>
        <v>5.3930659335236504</v>
      </c>
      <c r="O61" s="11">
        <f t="shared" si="56"/>
        <v>4.268505944707143</v>
      </c>
      <c r="P61" s="11">
        <f t="shared" si="56"/>
        <v>8.1788568883433292</v>
      </c>
      <c r="Q61" s="5">
        <f t="shared" si="56"/>
        <v>4.3020856957217232E-2</v>
      </c>
      <c r="R61" s="26">
        <f t="shared" si="56"/>
        <v>0.38752213270126112</v>
      </c>
      <c r="S61" s="26">
        <f t="shared" si="56"/>
        <v>5.3251526262946989</v>
      </c>
      <c r="T61" s="11">
        <f t="shared" si="56"/>
        <v>4.3530340376952141</v>
      </c>
      <c r="U61" s="11">
        <f t="shared" ref="U61:W61" si="57">U39</f>
        <v>1.2665306944561558</v>
      </c>
      <c r="V61" s="5">
        <f t="shared" si="57"/>
        <v>1.8872466717417886E-2</v>
      </c>
      <c r="W61" s="26">
        <f t="shared" si="57"/>
        <v>0.19134286851966545</v>
      </c>
      <c r="Y61" s="14"/>
      <c r="Z61" s="14"/>
      <c r="AA61" s="26"/>
      <c r="AB61" s="26"/>
      <c r="AC61" s="26"/>
      <c r="AD61" s="26"/>
      <c r="AE61" s="26"/>
      <c r="AF61" s="26"/>
      <c r="AG61" s="26"/>
    </row>
    <row r="62" spans="1:90">
      <c r="A62" s="4"/>
      <c r="B62" s="3"/>
      <c r="C62" s="3"/>
      <c r="D62" s="3"/>
      <c r="E62" s="22" t="s">
        <v>506</v>
      </c>
      <c r="F62" s="22" t="str">
        <f t="shared" si="48"/>
        <v>Startup</v>
      </c>
      <c r="G62" s="11">
        <f t="shared" ref="G62" si="58">G42</f>
        <v>11.423659658795863</v>
      </c>
      <c r="H62" s="5">
        <f t="shared" ref="H62:T62" si="59">H42</f>
        <v>0.52038407931065622</v>
      </c>
      <c r="I62" s="5">
        <f t="shared" si="59"/>
        <v>1.4280538076508187</v>
      </c>
      <c r="J62" s="110">
        <f t="shared" si="59"/>
        <v>2.2895414388038392E-2</v>
      </c>
      <c r="K62" s="5">
        <f t="shared" si="59"/>
        <v>1.2366093934100091</v>
      </c>
      <c r="L62" s="26">
        <f t="shared" si="59"/>
        <v>37.049773355582104</v>
      </c>
      <c r="M62" s="26">
        <f t="shared" si="59"/>
        <v>7.1443477697408371</v>
      </c>
      <c r="N62" s="26">
        <f t="shared" si="59"/>
        <v>5.4976542183916965</v>
      </c>
      <c r="O62" s="11">
        <f t="shared" si="59"/>
        <v>4.6164695601726047</v>
      </c>
      <c r="P62" s="11">
        <f t="shared" si="59"/>
        <v>31.776046481587361</v>
      </c>
      <c r="Q62" s="5">
        <f t="shared" si="59"/>
        <v>0.16714087241007231</v>
      </c>
      <c r="R62" s="26">
        <f t="shared" si="59"/>
        <v>0.7585543902713896</v>
      </c>
      <c r="S62" s="26">
        <f t="shared" si="59"/>
        <v>7.0668002789805868</v>
      </c>
      <c r="T62" s="11">
        <f t="shared" si="59"/>
        <v>4.6035023080259405</v>
      </c>
      <c r="U62" s="11">
        <f t="shared" ref="U62:W62" si="60">U42</f>
        <v>13.070612839496015</v>
      </c>
      <c r="V62" s="5">
        <f t="shared" si="60"/>
        <v>0.1944343539604059</v>
      </c>
      <c r="W62" s="26">
        <f t="shared" si="60"/>
        <v>0.81474037091578977</v>
      </c>
      <c r="Y62" s="14"/>
      <c r="Z62" s="14"/>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row>
    <row r="63" spans="1:90">
      <c r="A63" s="4"/>
      <c r="B63" s="3"/>
      <c r="C63" s="3"/>
      <c r="D63" s="3"/>
      <c r="E63" s="22" t="s">
        <v>506</v>
      </c>
      <c r="F63" s="22" t="str">
        <f t="shared" si="48"/>
        <v>High</v>
      </c>
      <c r="G63" s="11">
        <f t="shared" ref="G63" si="61">G45</f>
        <v>8.4852813742385695</v>
      </c>
      <c r="H63" s="5">
        <f t="shared" ref="H63:T63" si="62">H45</f>
        <v>0.10550033175303195</v>
      </c>
      <c r="I63" s="5">
        <f t="shared" si="62"/>
        <v>0.16890839925108031</v>
      </c>
      <c r="J63" s="110">
        <f t="shared" si="62"/>
        <v>1.0606601717798203E-2</v>
      </c>
      <c r="K63" s="5">
        <f t="shared" si="62"/>
        <v>9.8954152077810081E-2</v>
      </c>
      <c r="L63" s="26">
        <f t="shared" si="62"/>
        <v>2.1142492757477833</v>
      </c>
      <c r="M63" s="26">
        <f t="shared" si="62"/>
        <v>0.56745319190220578</v>
      </c>
      <c r="N63" s="26">
        <f t="shared" si="62"/>
        <v>3.2727023153656996</v>
      </c>
      <c r="O63" s="11">
        <f t="shared" si="62"/>
        <v>3.273904396893712</v>
      </c>
      <c r="P63" s="11">
        <f t="shared" si="62"/>
        <v>48.18225607005126</v>
      </c>
      <c r="Q63" s="5">
        <f t="shared" si="62"/>
        <v>0.25346949678412983</v>
      </c>
      <c r="R63" s="26">
        <f t="shared" si="62"/>
        <v>0.70562185694605672</v>
      </c>
      <c r="S63" s="26">
        <f t="shared" si="62"/>
        <v>2.86837865788323</v>
      </c>
      <c r="T63" s="11">
        <f t="shared" si="62"/>
        <v>2.8284271247461903</v>
      </c>
      <c r="U63" s="11">
        <f t="shared" ref="U63:W63" si="63">U45</f>
        <v>38.070629099083824</v>
      </c>
      <c r="V63" s="5">
        <f t="shared" si="63"/>
        <v>0.56625111037418385</v>
      </c>
      <c r="W63" s="26">
        <f t="shared" si="63"/>
        <v>0.6252238159251452</v>
      </c>
      <c r="Y63" s="14"/>
      <c r="Z63" s="14"/>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row>
    <row r="64" spans="1:90">
      <c r="A64" s="4"/>
      <c r="B64" s="3"/>
      <c r="C64" s="3"/>
      <c r="D64" s="3"/>
      <c r="E64" s="22" t="s">
        <v>506</v>
      </c>
      <c r="F64" s="22" t="str">
        <f t="shared" si="48"/>
        <v>Low</v>
      </c>
      <c r="G64" s="11">
        <f t="shared" ref="G64" si="64">G48</f>
        <v>29.859392715414248</v>
      </c>
      <c r="H64" s="5">
        <f t="shared" ref="H64:T64" si="65">H48</f>
        <v>0.21794494717703372</v>
      </c>
      <c r="I64" s="5">
        <f t="shared" si="65"/>
        <v>0.11931802680851532</v>
      </c>
      <c r="J64" s="110">
        <f t="shared" si="65"/>
        <v>3.7859388972001857E-3</v>
      </c>
      <c r="K64" s="5">
        <f t="shared" si="65"/>
        <v>0.10125305076190008</v>
      </c>
      <c r="L64" s="26">
        <f t="shared" si="65"/>
        <v>3.6701057659600616</v>
      </c>
      <c r="M64" s="26">
        <f t="shared" si="65"/>
        <v>0.60085108249326913</v>
      </c>
      <c r="N64" s="26">
        <f t="shared" si="65"/>
        <v>3.1195092450576252</v>
      </c>
      <c r="O64" s="11">
        <f t="shared" si="65"/>
        <v>3.781958355138229</v>
      </c>
      <c r="P64" s="11">
        <f t="shared" si="65"/>
        <v>33.316096710148919</v>
      </c>
      <c r="Q64" s="5">
        <f t="shared" si="65"/>
        <v>0.17525869488654008</v>
      </c>
      <c r="R64" s="26">
        <f t="shared" si="65"/>
        <v>0.40275397370272387</v>
      </c>
      <c r="S64" s="26">
        <f t="shared" si="65"/>
        <v>2.4855832803053142</v>
      </c>
      <c r="T64" s="11">
        <f t="shared" si="65"/>
        <v>3.677710021195236</v>
      </c>
      <c r="U64" s="11">
        <f t="shared" ref="U64:W64" si="66">U48</f>
        <v>5.3823538840672152</v>
      </c>
      <c r="V64" s="5">
        <f t="shared" si="66"/>
        <v>8.0070302443123118E-2</v>
      </c>
      <c r="W64" s="26">
        <f t="shared" si="66"/>
        <v>0.17976235238039423</v>
      </c>
      <c r="Y64" s="14"/>
      <c r="Z64" s="14"/>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row>
    <row r="65" spans="7:7">
      <c r="G65"/>
    </row>
    <row r="66" spans="7:7">
      <c r="G66"/>
    </row>
    <row r="67" spans="7:7">
      <c r="G67"/>
    </row>
    <row r="68" spans="7:7">
      <c r="G68"/>
    </row>
    <row r="69" spans="7:7">
      <c r="G69"/>
    </row>
    <row r="70" spans="7:7">
      <c r="G70"/>
    </row>
    <row r="71" spans="7:7">
      <c r="G71"/>
    </row>
    <row r="72" spans="7:7">
      <c r="G72"/>
    </row>
    <row r="73" spans="7:7">
      <c r="G73"/>
    </row>
    <row r="74" spans="7:7">
      <c r="G74"/>
    </row>
    <row r="75" spans="7:7">
      <c r="G75"/>
    </row>
    <row r="76" spans="7:7">
      <c r="G76"/>
    </row>
    <row r="77" spans="7:7">
      <c r="G77"/>
    </row>
    <row r="78" spans="7:7">
      <c r="G78"/>
    </row>
    <row r="79" spans="7:7">
      <c r="G79"/>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sheetData>
  <conditionalFormatting sqref="AA34">
    <cfRule type="colorScale" priority="355">
      <colorScale>
        <cfvo type="percent" val="0"/>
        <cfvo type="percent" val="100"/>
        <color rgb="FFFCFCFF"/>
        <color rgb="FF63BE7B"/>
      </colorScale>
    </cfRule>
  </conditionalFormatting>
  <conditionalFormatting sqref="AB34">
    <cfRule type="colorScale" priority="352">
      <colorScale>
        <cfvo type="percent" val="0"/>
        <cfvo type="percent" val="100"/>
        <color rgb="FFFCFCFF"/>
        <color rgb="FF63BE7B"/>
      </colorScale>
    </cfRule>
  </conditionalFormatting>
  <conditionalFormatting sqref="AC34">
    <cfRule type="colorScale" priority="349">
      <colorScale>
        <cfvo type="percent" val="0"/>
        <cfvo type="percent" val="100"/>
        <color rgb="FFFCFCFF"/>
        <color rgb="FF63BE7B"/>
      </colorScale>
    </cfRule>
  </conditionalFormatting>
  <conditionalFormatting sqref="AD34">
    <cfRule type="colorScale" priority="346">
      <colorScale>
        <cfvo type="percent" val="0"/>
        <cfvo type="percent" val="100"/>
        <color rgb="FFFCFCFF"/>
        <color rgb="FF63BE7B"/>
      </colorScale>
    </cfRule>
  </conditionalFormatting>
  <conditionalFormatting sqref="AE34">
    <cfRule type="colorScale" priority="343">
      <colorScale>
        <cfvo type="percent" val="0"/>
        <cfvo type="percent" val="100"/>
        <color rgb="FFFCFCFF"/>
        <color rgb="FF63BE7B"/>
      </colorScale>
    </cfRule>
  </conditionalFormatting>
  <conditionalFormatting sqref="AF34">
    <cfRule type="colorScale" priority="340">
      <colorScale>
        <cfvo type="percent" val="0"/>
        <cfvo type="percent" val="100"/>
        <color rgb="FFFCFCFF"/>
        <color rgb="FF63BE7B"/>
      </colorScale>
    </cfRule>
  </conditionalFormatting>
  <conditionalFormatting sqref="AG34">
    <cfRule type="colorScale" priority="337">
      <colorScale>
        <cfvo type="percent" val="0"/>
        <cfvo type="percent" val="100"/>
        <color rgb="FFFCFCFF"/>
        <color rgb="FF63BE7B"/>
      </colorScale>
    </cfRule>
  </conditionalFormatting>
  <conditionalFormatting sqref="AI34">
    <cfRule type="colorScale" priority="334">
      <colorScale>
        <cfvo type="percent" val="0"/>
        <cfvo type="percent" val="100"/>
        <color rgb="FFFCFCFF"/>
        <color rgb="FF63BE7B"/>
      </colorScale>
    </cfRule>
  </conditionalFormatting>
  <conditionalFormatting sqref="AJ34">
    <cfRule type="colorScale" priority="331">
      <colorScale>
        <cfvo type="percent" val="0"/>
        <cfvo type="percent" val="100"/>
        <color rgb="FFFCFCFF"/>
        <color rgb="FF63BE7B"/>
      </colorScale>
    </cfRule>
  </conditionalFormatting>
  <conditionalFormatting sqref="AK34">
    <cfRule type="colorScale" priority="328">
      <colorScale>
        <cfvo type="percent" val="0"/>
        <cfvo type="percent" val="100"/>
        <color rgb="FFFCFCFF"/>
        <color rgb="FF63BE7B"/>
      </colorScale>
    </cfRule>
  </conditionalFormatting>
  <conditionalFormatting sqref="AL34">
    <cfRule type="colorScale" priority="325">
      <colorScale>
        <cfvo type="percent" val="0"/>
        <cfvo type="percent" val="100"/>
        <color rgb="FFFCFCFF"/>
        <color rgb="FF63BE7B"/>
      </colorScale>
    </cfRule>
  </conditionalFormatting>
  <conditionalFormatting sqref="AM34">
    <cfRule type="colorScale" priority="322">
      <colorScale>
        <cfvo type="percent" val="0"/>
        <cfvo type="percent" val="100"/>
        <color rgb="FFFCFCFF"/>
        <color rgb="FF63BE7B"/>
      </colorScale>
    </cfRule>
  </conditionalFormatting>
  <conditionalFormatting sqref="AN34">
    <cfRule type="colorScale" priority="319">
      <colorScale>
        <cfvo type="percent" val="0"/>
        <cfvo type="percent" val="100"/>
        <color rgb="FFFCFCFF"/>
        <color rgb="FF63BE7B"/>
      </colorScale>
    </cfRule>
  </conditionalFormatting>
  <conditionalFormatting sqref="AP34">
    <cfRule type="colorScale" priority="316">
      <colorScale>
        <cfvo type="percent" val="0"/>
        <cfvo type="percent" val="100"/>
        <color rgb="FFFCFCFF"/>
        <color rgb="FF63BE7B"/>
      </colorScale>
    </cfRule>
  </conditionalFormatting>
  <conditionalFormatting sqref="AQ34:AV34">
    <cfRule type="colorScale" priority="313">
      <colorScale>
        <cfvo type="percent" val="0"/>
        <cfvo type="percent" val="100"/>
        <color rgb="FFFCFCFF"/>
        <color rgb="FF63BE7B"/>
      </colorScale>
    </cfRule>
  </conditionalFormatting>
  <conditionalFormatting sqref="AX34:BB34">
    <cfRule type="colorScale" priority="310">
      <colorScale>
        <cfvo type="percent" val="0"/>
        <cfvo type="percent" val="100"/>
        <color rgb="FFFCFCFF"/>
        <color rgb="FF63BE7B"/>
      </colorScale>
    </cfRule>
  </conditionalFormatting>
  <conditionalFormatting sqref="BC34:CL34">
    <cfRule type="colorScale" priority="307">
      <colorScale>
        <cfvo type="percent" val="0"/>
        <cfvo type="percent" val="100"/>
        <color rgb="FFFCFCFF"/>
        <color rgb="FF63BE7B"/>
      </colorScale>
    </cfRule>
  </conditionalFormatting>
  <conditionalFormatting sqref="G34">
    <cfRule type="colorScale" priority="277">
      <colorScale>
        <cfvo type="num" val="0"/>
        <cfvo type="num" val="1"/>
        <color rgb="FFFCFCFF"/>
        <color rgb="FF63BE7B"/>
      </colorScale>
    </cfRule>
  </conditionalFormatting>
  <conditionalFormatting sqref="H34">
    <cfRule type="colorScale" priority="266">
      <colorScale>
        <cfvo type="num" val="0"/>
        <cfvo type="num" val="1"/>
        <color rgb="FFFCFCFF"/>
        <color rgb="FF63BE7B"/>
      </colorScale>
    </cfRule>
  </conditionalFormatting>
  <conditionalFormatting sqref="I34">
    <cfRule type="colorScale" priority="260">
      <colorScale>
        <cfvo type="num" val="0"/>
        <cfvo type="num" val="1"/>
        <color rgb="FFFCFCFF"/>
        <color rgb="FF63BE7B"/>
      </colorScale>
    </cfRule>
  </conditionalFormatting>
  <conditionalFormatting sqref="J34">
    <cfRule type="colorScale" priority="254">
      <colorScale>
        <cfvo type="num" val="0"/>
        <cfvo type="num" val="1"/>
        <color rgb="FFFCFCFF"/>
        <color rgb="FF63BE7B"/>
      </colorScale>
    </cfRule>
  </conditionalFormatting>
  <conditionalFormatting sqref="K34">
    <cfRule type="colorScale" priority="248">
      <colorScale>
        <cfvo type="num" val="0"/>
        <cfvo type="num" val="1"/>
        <color rgb="FFFCFCFF"/>
        <color rgb="FF63BE7B"/>
      </colorScale>
    </cfRule>
  </conditionalFormatting>
  <conditionalFormatting sqref="L34">
    <cfRule type="colorScale" priority="242">
      <colorScale>
        <cfvo type="num" val="0"/>
        <cfvo type="num" val="1"/>
        <color rgb="FFFCFCFF"/>
        <color rgb="FF63BE7B"/>
      </colorScale>
    </cfRule>
  </conditionalFormatting>
  <conditionalFormatting sqref="M34">
    <cfRule type="colorScale" priority="236">
      <colorScale>
        <cfvo type="num" val="0"/>
        <cfvo type="num" val="1"/>
        <color rgb="FFFCFCFF"/>
        <color rgb="FF63BE7B"/>
      </colorScale>
    </cfRule>
  </conditionalFormatting>
  <conditionalFormatting sqref="N34">
    <cfRule type="colorScale" priority="230">
      <colorScale>
        <cfvo type="num" val="0"/>
        <cfvo type="num" val="1"/>
        <color rgb="FFFCFCFF"/>
        <color rgb="FF63BE7B"/>
      </colorScale>
    </cfRule>
  </conditionalFormatting>
  <conditionalFormatting sqref="O34">
    <cfRule type="colorScale" priority="224">
      <colorScale>
        <cfvo type="num" val="0"/>
        <cfvo type="num" val="1"/>
        <color rgb="FFFCFCFF"/>
        <color rgb="FF63BE7B"/>
      </colorScale>
    </cfRule>
  </conditionalFormatting>
  <conditionalFormatting sqref="P34">
    <cfRule type="colorScale" priority="218">
      <colorScale>
        <cfvo type="num" val="0"/>
        <cfvo type="num" val="1"/>
        <color rgb="FFFCFCFF"/>
        <color rgb="FF63BE7B"/>
      </colorScale>
    </cfRule>
  </conditionalFormatting>
  <conditionalFormatting sqref="Q34">
    <cfRule type="colorScale" priority="212">
      <colorScale>
        <cfvo type="num" val="0"/>
        <cfvo type="num" val="1"/>
        <color rgb="FFFCFCFF"/>
        <color rgb="FF63BE7B"/>
      </colorScale>
    </cfRule>
  </conditionalFormatting>
  <conditionalFormatting sqref="R34">
    <cfRule type="colorScale" priority="206">
      <colorScale>
        <cfvo type="num" val="0"/>
        <cfvo type="num" val="1"/>
        <color rgb="FFFCFCFF"/>
        <color rgb="FF63BE7B"/>
      </colorScale>
    </cfRule>
  </conditionalFormatting>
  <conditionalFormatting sqref="S34">
    <cfRule type="colorScale" priority="200">
      <colorScale>
        <cfvo type="num" val="0"/>
        <cfvo type="num" val="1"/>
        <color rgb="FFFCFCFF"/>
        <color rgb="FF63BE7B"/>
      </colorScale>
    </cfRule>
  </conditionalFormatting>
  <conditionalFormatting sqref="T34">
    <cfRule type="colorScale" priority="194">
      <colorScale>
        <cfvo type="num" val="0"/>
        <cfvo type="num" val="1"/>
        <color rgb="FFFCFCFF"/>
        <color rgb="FF63BE7B"/>
      </colorScale>
    </cfRule>
  </conditionalFormatting>
  <conditionalFormatting sqref="U34">
    <cfRule type="colorScale" priority="188">
      <colorScale>
        <cfvo type="num" val="0"/>
        <cfvo type="num" val="1"/>
        <color rgb="FFFCFCFF"/>
        <color rgb="FF63BE7B"/>
      </colorScale>
    </cfRule>
  </conditionalFormatting>
  <conditionalFormatting sqref="V34">
    <cfRule type="colorScale" priority="182">
      <colorScale>
        <cfvo type="num" val="0"/>
        <cfvo type="num" val="1"/>
        <color rgb="FFFCFCFF"/>
        <color rgb="FF63BE7B"/>
      </colorScale>
    </cfRule>
  </conditionalFormatting>
  <conditionalFormatting sqref="W34">
    <cfRule type="colorScale" priority="176">
      <colorScale>
        <cfvo type="num" val="0"/>
        <cfvo type="num" val="1"/>
        <color rgb="FFFCFCFF"/>
        <color rgb="FF63BE7B"/>
      </colorScale>
    </cfRule>
  </conditionalFormatting>
  <conditionalFormatting sqref="AA37">
    <cfRule type="colorScale" priority="170">
      <colorScale>
        <cfvo type="percent" val="0"/>
        <cfvo type="percent" val="100"/>
        <color rgb="FFFCFCFF"/>
        <color rgb="FF63BE7B"/>
      </colorScale>
    </cfRule>
  </conditionalFormatting>
  <conditionalFormatting sqref="AB37">
    <cfRule type="colorScale" priority="169">
      <colorScale>
        <cfvo type="percent" val="0"/>
        <cfvo type="percent" val="100"/>
        <color rgb="FFFCFCFF"/>
        <color rgb="FF63BE7B"/>
      </colorScale>
    </cfRule>
  </conditionalFormatting>
  <conditionalFormatting sqref="AC37">
    <cfRule type="colorScale" priority="168">
      <colorScale>
        <cfvo type="percent" val="0"/>
        <cfvo type="percent" val="100"/>
        <color rgb="FFFCFCFF"/>
        <color rgb="FF63BE7B"/>
      </colorScale>
    </cfRule>
  </conditionalFormatting>
  <conditionalFormatting sqref="AD37">
    <cfRule type="colorScale" priority="167">
      <colorScale>
        <cfvo type="percent" val="0"/>
        <cfvo type="percent" val="100"/>
        <color rgb="FFFCFCFF"/>
        <color rgb="FF63BE7B"/>
      </colorScale>
    </cfRule>
  </conditionalFormatting>
  <conditionalFormatting sqref="AE37">
    <cfRule type="colorScale" priority="166">
      <colorScale>
        <cfvo type="percent" val="0"/>
        <cfvo type="percent" val="100"/>
        <color rgb="FFFCFCFF"/>
        <color rgb="FF63BE7B"/>
      </colorScale>
    </cfRule>
  </conditionalFormatting>
  <conditionalFormatting sqref="AF37">
    <cfRule type="colorScale" priority="165">
      <colorScale>
        <cfvo type="percent" val="0"/>
        <cfvo type="percent" val="100"/>
        <color rgb="FFFCFCFF"/>
        <color rgb="FF63BE7B"/>
      </colorScale>
    </cfRule>
  </conditionalFormatting>
  <conditionalFormatting sqref="AG37">
    <cfRule type="colorScale" priority="164">
      <colorScale>
        <cfvo type="percent" val="0"/>
        <cfvo type="percent" val="100"/>
        <color rgb="FFFCFCFF"/>
        <color rgb="FF63BE7B"/>
      </colorScale>
    </cfRule>
  </conditionalFormatting>
  <conditionalFormatting sqref="AI37">
    <cfRule type="colorScale" priority="163">
      <colorScale>
        <cfvo type="percent" val="0"/>
        <cfvo type="percent" val="100"/>
        <color rgb="FFFCFCFF"/>
        <color rgb="FF63BE7B"/>
      </colorScale>
    </cfRule>
  </conditionalFormatting>
  <conditionalFormatting sqref="AJ37">
    <cfRule type="colorScale" priority="162">
      <colorScale>
        <cfvo type="percent" val="0"/>
        <cfvo type="percent" val="100"/>
        <color rgb="FFFCFCFF"/>
        <color rgb="FF63BE7B"/>
      </colorScale>
    </cfRule>
  </conditionalFormatting>
  <conditionalFormatting sqref="AK37">
    <cfRule type="colorScale" priority="161">
      <colorScale>
        <cfvo type="percent" val="0"/>
        <cfvo type="percent" val="100"/>
        <color rgb="FFFCFCFF"/>
        <color rgb="FF63BE7B"/>
      </colorScale>
    </cfRule>
  </conditionalFormatting>
  <conditionalFormatting sqref="AL37">
    <cfRule type="colorScale" priority="160">
      <colorScale>
        <cfvo type="percent" val="0"/>
        <cfvo type="percent" val="100"/>
        <color rgb="FFFCFCFF"/>
        <color rgb="FF63BE7B"/>
      </colorScale>
    </cfRule>
  </conditionalFormatting>
  <conditionalFormatting sqref="AM37">
    <cfRule type="colorScale" priority="159">
      <colorScale>
        <cfvo type="percent" val="0"/>
        <cfvo type="percent" val="100"/>
        <color rgb="FFFCFCFF"/>
        <color rgb="FF63BE7B"/>
      </colorScale>
    </cfRule>
  </conditionalFormatting>
  <conditionalFormatting sqref="AN37">
    <cfRule type="colorScale" priority="158">
      <colorScale>
        <cfvo type="percent" val="0"/>
        <cfvo type="percent" val="100"/>
        <color rgb="FFFCFCFF"/>
        <color rgb="FF63BE7B"/>
      </colorScale>
    </cfRule>
  </conditionalFormatting>
  <conditionalFormatting sqref="AP37">
    <cfRule type="colorScale" priority="157">
      <colorScale>
        <cfvo type="percent" val="0"/>
        <cfvo type="percent" val="100"/>
        <color rgb="FFFCFCFF"/>
        <color rgb="FF63BE7B"/>
      </colorScale>
    </cfRule>
  </conditionalFormatting>
  <conditionalFormatting sqref="AQ37:AV37">
    <cfRule type="colorScale" priority="156">
      <colorScale>
        <cfvo type="percent" val="0"/>
        <cfvo type="percent" val="100"/>
        <color rgb="FFFCFCFF"/>
        <color rgb="FF63BE7B"/>
      </colorScale>
    </cfRule>
  </conditionalFormatting>
  <conditionalFormatting sqref="AX37:BB37">
    <cfRule type="colorScale" priority="155">
      <colorScale>
        <cfvo type="percent" val="0"/>
        <cfvo type="percent" val="100"/>
        <color rgb="FFFCFCFF"/>
        <color rgb="FF63BE7B"/>
      </colorScale>
    </cfRule>
  </conditionalFormatting>
  <conditionalFormatting sqref="BC37:CL37">
    <cfRule type="colorScale" priority="154">
      <colorScale>
        <cfvo type="percent" val="0"/>
        <cfvo type="percent" val="100"/>
        <color rgb="FFFCFCFF"/>
        <color rgb="FF63BE7B"/>
      </colorScale>
    </cfRule>
  </conditionalFormatting>
  <conditionalFormatting sqref="G37">
    <cfRule type="colorScale" priority="153">
      <colorScale>
        <cfvo type="num" val="0"/>
        <cfvo type="num" val="1"/>
        <color rgb="FFFCFCFF"/>
        <color rgb="FF63BE7B"/>
      </colorScale>
    </cfRule>
  </conditionalFormatting>
  <conditionalFormatting sqref="H37">
    <cfRule type="colorScale" priority="152">
      <colorScale>
        <cfvo type="num" val="0"/>
        <cfvo type="num" val="1"/>
        <color rgb="FFFCFCFF"/>
        <color rgb="FF63BE7B"/>
      </colorScale>
    </cfRule>
  </conditionalFormatting>
  <conditionalFormatting sqref="I37">
    <cfRule type="colorScale" priority="151">
      <colorScale>
        <cfvo type="num" val="0"/>
        <cfvo type="num" val="1"/>
        <color rgb="FFFCFCFF"/>
        <color rgb="FF63BE7B"/>
      </colorScale>
    </cfRule>
  </conditionalFormatting>
  <conditionalFormatting sqref="J37">
    <cfRule type="colorScale" priority="150">
      <colorScale>
        <cfvo type="num" val="0"/>
        <cfvo type="num" val="1"/>
        <color rgb="FFFCFCFF"/>
        <color rgb="FF63BE7B"/>
      </colorScale>
    </cfRule>
  </conditionalFormatting>
  <conditionalFormatting sqref="K37">
    <cfRule type="colorScale" priority="149">
      <colorScale>
        <cfvo type="num" val="0"/>
        <cfvo type="num" val="1"/>
        <color rgb="FFFCFCFF"/>
        <color rgb="FF63BE7B"/>
      </colorScale>
    </cfRule>
  </conditionalFormatting>
  <conditionalFormatting sqref="L37">
    <cfRule type="colorScale" priority="148">
      <colorScale>
        <cfvo type="num" val="0"/>
        <cfvo type="num" val="1"/>
        <color rgb="FFFCFCFF"/>
        <color rgb="FF63BE7B"/>
      </colorScale>
    </cfRule>
  </conditionalFormatting>
  <conditionalFormatting sqref="M37">
    <cfRule type="colorScale" priority="147">
      <colorScale>
        <cfvo type="num" val="0"/>
        <cfvo type="num" val="1"/>
        <color rgb="FFFCFCFF"/>
        <color rgb="FF63BE7B"/>
      </colorScale>
    </cfRule>
  </conditionalFormatting>
  <conditionalFormatting sqref="N37">
    <cfRule type="colorScale" priority="146">
      <colorScale>
        <cfvo type="num" val="0"/>
        <cfvo type="num" val="1"/>
        <color rgb="FFFCFCFF"/>
        <color rgb="FF63BE7B"/>
      </colorScale>
    </cfRule>
  </conditionalFormatting>
  <conditionalFormatting sqref="O37">
    <cfRule type="colorScale" priority="145">
      <colorScale>
        <cfvo type="num" val="0"/>
        <cfvo type="num" val="1"/>
        <color rgb="FFFCFCFF"/>
        <color rgb="FF63BE7B"/>
      </colorScale>
    </cfRule>
  </conditionalFormatting>
  <conditionalFormatting sqref="P37">
    <cfRule type="colorScale" priority="144">
      <colorScale>
        <cfvo type="num" val="0"/>
        <cfvo type="num" val="1"/>
        <color rgb="FFFCFCFF"/>
        <color rgb="FF63BE7B"/>
      </colorScale>
    </cfRule>
  </conditionalFormatting>
  <conditionalFormatting sqref="Q37">
    <cfRule type="colorScale" priority="143">
      <colorScale>
        <cfvo type="num" val="0"/>
        <cfvo type="num" val="1"/>
        <color rgb="FFFCFCFF"/>
        <color rgb="FF63BE7B"/>
      </colorScale>
    </cfRule>
  </conditionalFormatting>
  <conditionalFormatting sqref="R37">
    <cfRule type="colorScale" priority="142">
      <colorScale>
        <cfvo type="num" val="0"/>
        <cfvo type="num" val="1"/>
        <color rgb="FFFCFCFF"/>
        <color rgb="FF63BE7B"/>
      </colorScale>
    </cfRule>
  </conditionalFormatting>
  <conditionalFormatting sqref="S37">
    <cfRule type="colorScale" priority="141">
      <colorScale>
        <cfvo type="num" val="0"/>
        <cfvo type="num" val="1"/>
        <color rgb="FFFCFCFF"/>
        <color rgb="FF63BE7B"/>
      </colorScale>
    </cfRule>
  </conditionalFormatting>
  <conditionalFormatting sqref="T37">
    <cfRule type="colorScale" priority="140">
      <colorScale>
        <cfvo type="num" val="0"/>
        <cfvo type="num" val="1"/>
        <color rgb="FFFCFCFF"/>
        <color rgb="FF63BE7B"/>
      </colorScale>
    </cfRule>
  </conditionalFormatting>
  <conditionalFormatting sqref="U37">
    <cfRule type="colorScale" priority="139">
      <colorScale>
        <cfvo type="num" val="0"/>
        <cfvo type="num" val="1"/>
        <color rgb="FFFCFCFF"/>
        <color rgb="FF63BE7B"/>
      </colorScale>
    </cfRule>
  </conditionalFormatting>
  <conditionalFormatting sqref="V37">
    <cfRule type="colorScale" priority="138">
      <colorScale>
        <cfvo type="num" val="0"/>
        <cfvo type="num" val="1"/>
        <color rgb="FFFCFCFF"/>
        <color rgb="FF63BE7B"/>
      </colorScale>
    </cfRule>
  </conditionalFormatting>
  <conditionalFormatting sqref="W37">
    <cfRule type="colorScale" priority="137">
      <colorScale>
        <cfvo type="num" val="0"/>
        <cfvo type="num" val="1"/>
        <color rgb="FFFCFCFF"/>
        <color rgb="FF63BE7B"/>
      </colorScale>
    </cfRule>
  </conditionalFormatting>
  <conditionalFormatting sqref="AA40">
    <cfRule type="colorScale" priority="136">
      <colorScale>
        <cfvo type="percent" val="0"/>
        <cfvo type="percent" val="100"/>
        <color rgb="FFFCFCFF"/>
        <color rgb="FF63BE7B"/>
      </colorScale>
    </cfRule>
  </conditionalFormatting>
  <conditionalFormatting sqref="AB40">
    <cfRule type="colorScale" priority="135">
      <colorScale>
        <cfvo type="percent" val="0"/>
        <cfvo type="percent" val="100"/>
        <color rgb="FFFCFCFF"/>
        <color rgb="FF63BE7B"/>
      </colorScale>
    </cfRule>
  </conditionalFormatting>
  <conditionalFormatting sqref="AC40">
    <cfRule type="colorScale" priority="134">
      <colorScale>
        <cfvo type="percent" val="0"/>
        <cfvo type="percent" val="100"/>
        <color rgb="FFFCFCFF"/>
        <color rgb="FF63BE7B"/>
      </colorScale>
    </cfRule>
  </conditionalFormatting>
  <conditionalFormatting sqref="AD40">
    <cfRule type="colorScale" priority="133">
      <colorScale>
        <cfvo type="percent" val="0"/>
        <cfvo type="percent" val="100"/>
        <color rgb="FFFCFCFF"/>
        <color rgb="FF63BE7B"/>
      </colorScale>
    </cfRule>
  </conditionalFormatting>
  <conditionalFormatting sqref="AE40">
    <cfRule type="colorScale" priority="132">
      <colorScale>
        <cfvo type="percent" val="0"/>
        <cfvo type="percent" val="100"/>
        <color rgb="FFFCFCFF"/>
        <color rgb="FF63BE7B"/>
      </colorScale>
    </cfRule>
  </conditionalFormatting>
  <conditionalFormatting sqref="AF40">
    <cfRule type="colorScale" priority="131">
      <colorScale>
        <cfvo type="percent" val="0"/>
        <cfvo type="percent" val="100"/>
        <color rgb="FFFCFCFF"/>
        <color rgb="FF63BE7B"/>
      </colorScale>
    </cfRule>
  </conditionalFormatting>
  <conditionalFormatting sqref="AG40">
    <cfRule type="colorScale" priority="130">
      <colorScale>
        <cfvo type="percent" val="0"/>
        <cfvo type="percent" val="100"/>
        <color rgb="FFFCFCFF"/>
        <color rgb="FF63BE7B"/>
      </colorScale>
    </cfRule>
  </conditionalFormatting>
  <conditionalFormatting sqref="AI40">
    <cfRule type="colorScale" priority="129">
      <colorScale>
        <cfvo type="percent" val="0"/>
        <cfvo type="percent" val="100"/>
        <color rgb="FFFCFCFF"/>
        <color rgb="FF63BE7B"/>
      </colorScale>
    </cfRule>
  </conditionalFormatting>
  <conditionalFormatting sqref="AJ40">
    <cfRule type="colorScale" priority="128">
      <colorScale>
        <cfvo type="percent" val="0"/>
        <cfvo type="percent" val="100"/>
        <color rgb="FFFCFCFF"/>
        <color rgb="FF63BE7B"/>
      </colorScale>
    </cfRule>
  </conditionalFormatting>
  <conditionalFormatting sqref="AK40">
    <cfRule type="colorScale" priority="127">
      <colorScale>
        <cfvo type="percent" val="0"/>
        <cfvo type="percent" val="100"/>
        <color rgb="FFFCFCFF"/>
        <color rgb="FF63BE7B"/>
      </colorScale>
    </cfRule>
  </conditionalFormatting>
  <conditionalFormatting sqref="AL40">
    <cfRule type="colorScale" priority="126">
      <colorScale>
        <cfvo type="percent" val="0"/>
        <cfvo type="percent" val="100"/>
        <color rgb="FFFCFCFF"/>
        <color rgb="FF63BE7B"/>
      </colorScale>
    </cfRule>
  </conditionalFormatting>
  <conditionalFormatting sqref="AM40">
    <cfRule type="colorScale" priority="125">
      <colorScale>
        <cfvo type="percent" val="0"/>
        <cfvo type="percent" val="100"/>
        <color rgb="FFFCFCFF"/>
        <color rgb="FF63BE7B"/>
      </colorScale>
    </cfRule>
  </conditionalFormatting>
  <conditionalFormatting sqref="AN40">
    <cfRule type="colorScale" priority="124">
      <colorScale>
        <cfvo type="percent" val="0"/>
        <cfvo type="percent" val="100"/>
        <color rgb="FFFCFCFF"/>
        <color rgb="FF63BE7B"/>
      </colorScale>
    </cfRule>
  </conditionalFormatting>
  <conditionalFormatting sqref="AP40">
    <cfRule type="colorScale" priority="123">
      <colorScale>
        <cfvo type="percent" val="0"/>
        <cfvo type="percent" val="100"/>
        <color rgb="FFFCFCFF"/>
        <color rgb="FF63BE7B"/>
      </colorScale>
    </cfRule>
  </conditionalFormatting>
  <conditionalFormatting sqref="AQ40:AV40">
    <cfRule type="colorScale" priority="122">
      <colorScale>
        <cfvo type="percent" val="0"/>
        <cfvo type="percent" val="100"/>
        <color rgb="FFFCFCFF"/>
        <color rgb="FF63BE7B"/>
      </colorScale>
    </cfRule>
  </conditionalFormatting>
  <conditionalFormatting sqref="AX40:BB40">
    <cfRule type="colorScale" priority="121">
      <colorScale>
        <cfvo type="percent" val="0"/>
        <cfvo type="percent" val="100"/>
        <color rgb="FFFCFCFF"/>
        <color rgb="FF63BE7B"/>
      </colorScale>
    </cfRule>
  </conditionalFormatting>
  <conditionalFormatting sqref="BC40:CL40">
    <cfRule type="colorScale" priority="120">
      <colorScale>
        <cfvo type="percent" val="0"/>
        <cfvo type="percent" val="100"/>
        <color rgb="FFFCFCFF"/>
        <color rgb="FF63BE7B"/>
      </colorScale>
    </cfRule>
  </conditionalFormatting>
  <conditionalFormatting sqref="G40">
    <cfRule type="colorScale" priority="119">
      <colorScale>
        <cfvo type="num" val="0"/>
        <cfvo type="num" val="1"/>
        <color rgb="FFFCFCFF"/>
        <color rgb="FF63BE7B"/>
      </colorScale>
    </cfRule>
  </conditionalFormatting>
  <conditionalFormatting sqref="H40">
    <cfRule type="colorScale" priority="118">
      <colorScale>
        <cfvo type="num" val="0"/>
        <cfvo type="num" val="1"/>
        <color rgb="FFFCFCFF"/>
        <color rgb="FF63BE7B"/>
      </colorScale>
    </cfRule>
  </conditionalFormatting>
  <conditionalFormatting sqref="I40">
    <cfRule type="colorScale" priority="117">
      <colorScale>
        <cfvo type="num" val="0"/>
        <cfvo type="num" val="1"/>
        <color rgb="FFFCFCFF"/>
        <color rgb="FF63BE7B"/>
      </colorScale>
    </cfRule>
  </conditionalFormatting>
  <conditionalFormatting sqref="J40">
    <cfRule type="colorScale" priority="116">
      <colorScale>
        <cfvo type="num" val="0"/>
        <cfvo type="num" val="1"/>
        <color rgb="FFFCFCFF"/>
        <color rgb="FF63BE7B"/>
      </colorScale>
    </cfRule>
  </conditionalFormatting>
  <conditionalFormatting sqref="K40">
    <cfRule type="colorScale" priority="115">
      <colorScale>
        <cfvo type="num" val="0"/>
        <cfvo type="num" val="1"/>
        <color rgb="FFFCFCFF"/>
        <color rgb="FF63BE7B"/>
      </colorScale>
    </cfRule>
  </conditionalFormatting>
  <conditionalFormatting sqref="L40">
    <cfRule type="colorScale" priority="114">
      <colorScale>
        <cfvo type="num" val="0"/>
        <cfvo type="num" val="1"/>
        <color rgb="FFFCFCFF"/>
        <color rgb="FF63BE7B"/>
      </colorScale>
    </cfRule>
  </conditionalFormatting>
  <conditionalFormatting sqref="M40">
    <cfRule type="colorScale" priority="113">
      <colorScale>
        <cfvo type="num" val="0"/>
        <cfvo type="num" val="1"/>
        <color rgb="FFFCFCFF"/>
        <color rgb="FF63BE7B"/>
      </colorScale>
    </cfRule>
  </conditionalFormatting>
  <conditionalFormatting sqref="N40">
    <cfRule type="colorScale" priority="112">
      <colorScale>
        <cfvo type="num" val="0"/>
        <cfvo type="num" val="1"/>
        <color rgb="FFFCFCFF"/>
        <color rgb="FF63BE7B"/>
      </colorScale>
    </cfRule>
  </conditionalFormatting>
  <conditionalFormatting sqref="O40">
    <cfRule type="colorScale" priority="111">
      <colorScale>
        <cfvo type="num" val="0"/>
        <cfvo type="num" val="1"/>
        <color rgb="FFFCFCFF"/>
        <color rgb="FF63BE7B"/>
      </colorScale>
    </cfRule>
  </conditionalFormatting>
  <conditionalFormatting sqref="P40">
    <cfRule type="colorScale" priority="110">
      <colorScale>
        <cfvo type="num" val="0"/>
        <cfvo type="num" val="1"/>
        <color rgb="FFFCFCFF"/>
        <color rgb="FF63BE7B"/>
      </colorScale>
    </cfRule>
  </conditionalFormatting>
  <conditionalFormatting sqref="Q40">
    <cfRule type="colorScale" priority="109">
      <colorScale>
        <cfvo type="num" val="0"/>
        <cfvo type="num" val="1"/>
        <color rgb="FFFCFCFF"/>
        <color rgb="FF63BE7B"/>
      </colorScale>
    </cfRule>
  </conditionalFormatting>
  <conditionalFormatting sqref="R40">
    <cfRule type="colorScale" priority="108">
      <colorScale>
        <cfvo type="num" val="0"/>
        <cfvo type="num" val="1"/>
        <color rgb="FFFCFCFF"/>
        <color rgb="FF63BE7B"/>
      </colorScale>
    </cfRule>
  </conditionalFormatting>
  <conditionalFormatting sqref="S40">
    <cfRule type="colorScale" priority="107">
      <colorScale>
        <cfvo type="num" val="0"/>
        <cfvo type="num" val="1"/>
        <color rgb="FFFCFCFF"/>
        <color rgb="FF63BE7B"/>
      </colorScale>
    </cfRule>
  </conditionalFormatting>
  <conditionalFormatting sqref="T40">
    <cfRule type="colorScale" priority="106">
      <colorScale>
        <cfvo type="num" val="0"/>
        <cfvo type="num" val="1"/>
        <color rgb="FFFCFCFF"/>
        <color rgb="FF63BE7B"/>
      </colorScale>
    </cfRule>
  </conditionalFormatting>
  <conditionalFormatting sqref="U40">
    <cfRule type="colorScale" priority="105">
      <colorScale>
        <cfvo type="num" val="0"/>
        <cfvo type="num" val="1"/>
        <color rgb="FFFCFCFF"/>
        <color rgb="FF63BE7B"/>
      </colorScale>
    </cfRule>
  </conditionalFormatting>
  <conditionalFormatting sqref="V40">
    <cfRule type="colorScale" priority="104">
      <colorScale>
        <cfvo type="num" val="0"/>
        <cfvo type="num" val="1"/>
        <color rgb="FFFCFCFF"/>
        <color rgb="FF63BE7B"/>
      </colorScale>
    </cfRule>
  </conditionalFormatting>
  <conditionalFormatting sqref="W40">
    <cfRule type="colorScale" priority="103">
      <colorScale>
        <cfvo type="num" val="0"/>
        <cfvo type="num" val="1"/>
        <color rgb="FFFCFCFF"/>
        <color rgb="FF63BE7B"/>
      </colorScale>
    </cfRule>
  </conditionalFormatting>
  <conditionalFormatting sqref="AA43">
    <cfRule type="colorScale" priority="102">
      <colorScale>
        <cfvo type="percent" val="0"/>
        <cfvo type="percent" val="100"/>
        <color rgb="FFFCFCFF"/>
        <color rgb="FF63BE7B"/>
      </colorScale>
    </cfRule>
  </conditionalFormatting>
  <conditionalFormatting sqref="AB43">
    <cfRule type="colorScale" priority="101">
      <colorScale>
        <cfvo type="percent" val="0"/>
        <cfvo type="percent" val="100"/>
        <color rgb="FFFCFCFF"/>
        <color rgb="FF63BE7B"/>
      </colorScale>
    </cfRule>
  </conditionalFormatting>
  <conditionalFormatting sqref="AC43">
    <cfRule type="colorScale" priority="100">
      <colorScale>
        <cfvo type="percent" val="0"/>
        <cfvo type="percent" val="100"/>
        <color rgb="FFFCFCFF"/>
        <color rgb="FF63BE7B"/>
      </colorScale>
    </cfRule>
  </conditionalFormatting>
  <conditionalFormatting sqref="AD43">
    <cfRule type="colorScale" priority="99">
      <colorScale>
        <cfvo type="percent" val="0"/>
        <cfvo type="percent" val="100"/>
        <color rgb="FFFCFCFF"/>
        <color rgb="FF63BE7B"/>
      </colorScale>
    </cfRule>
  </conditionalFormatting>
  <conditionalFormatting sqref="AE43">
    <cfRule type="colorScale" priority="98">
      <colorScale>
        <cfvo type="percent" val="0"/>
        <cfvo type="percent" val="100"/>
        <color rgb="FFFCFCFF"/>
        <color rgb="FF63BE7B"/>
      </colorScale>
    </cfRule>
  </conditionalFormatting>
  <conditionalFormatting sqref="AF43">
    <cfRule type="colorScale" priority="97">
      <colorScale>
        <cfvo type="percent" val="0"/>
        <cfvo type="percent" val="100"/>
        <color rgb="FFFCFCFF"/>
        <color rgb="FF63BE7B"/>
      </colorScale>
    </cfRule>
  </conditionalFormatting>
  <conditionalFormatting sqref="AG43">
    <cfRule type="colorScale" priority="96">
      <colorScale>
        <cfvo type="percent" val="0"/>
        <cfvo type="percent" val="100"/>
        <color rgb="FFFCFCFF"/>
        <color rgb="FF63BE7B"/>
      </colorScale>
    </cfRule>
  </conditionalFormatting>
  <conditionalFormatting sqref="AI43">
    <cfRule type="colorScale" priority="95">
      <colorScale>
        <cfvo type="percent" val="0"/>
        <cfvo type="percent" val="100"/>
        <color rgb="FFFCFCFF"/>
        <color rgb="FF63BE7B"/>
      </colorScale>
    </cfRule>
  </conditionalFormatting>
  <conditionalFormatting sqref="AJ43">
    <cfRule type="colorScale" priority="94">
      <colorScale>
        <cfvo type="percent" val="0"/>
        <cfvo type="percent" val="100"/>
        <color rgb="FFFCFCFF"/>
        <color rgb="FF63BE7B"/>
      </colorScale>
    </cfRule>
  </conditionalFormatting>
  <conditionalFormatting sqref="AK43">
    <cfRule type="colorScale" priority="93">
      <colorScale>
        <cfvo type="percent" val="0"/>
        <cfvo type="percent" val="100"/>
        <color rgb="FFFCFCFF"/>
        <color rgb="FF63BE7B"/>
      </colorScale>
    </cfRule>
  </conditionalFormatting>
  <conditionalFormatting sqref="AL43">
    <cfRule type="colorScale" priority="92">
      <colorScale>
        <cfvo type="percent" val="0"/>
        <cfvo type="percent" val="100"/>
        <color rgb="FFFCFCFF"/>
        <color rgb="FF63BE7B"/>
      </colorScale>
    </cfRule>
  </conditionalFormatting>
  <conditionalFormatting sqref="AM43">
    <cfRule type="colorScale" priority="91">
      <colorScale>
        <cfvo type="percent" val="0"/>
        <cfvo type="percent" val="100"/>
        <color rgb="FFFCFCFF"/>
        <color rgb="FF63BE7B"/>
      </colorScale>
    </cfRule>
  </conditionalFormatting>
  <conditionalFormatting sqref="AN43">
    <cfRule type="colorScale" priority="90">
      <colorScale>
        <cfvo type="percent" val="0"/>
        <cfvo type="percent" val="100"/>
        <color rgb="FFFCFCFF"/>
        <color rgb="FF63BE7B"/>
      </colorScale>
    </cfRule>
  </conditionalFormatting>
  <conditionalFormatting sqref="AP43">
    <cfRule type="colorScale" priority="89">
      <colorScale>
        <cfvo type="percent" val="0"/>
        <cfvo type="percent" val="100"/>
        <color rgb="FFFCFCFF"/>
        <color rgb="FF63BE7B"/>
      </colorScale>
    </cfRule>
  </conditionalFormatting>
  <conditionalFormatting sqref="AQ43:AV43">
    <cfRule type="colorScale" priority="88">
      <colorScale>
        <cfvo type="percent" val="0"/>
        <cfvo type="percent" val="100"/>
        <color rgb="FFFCFCFF"/>
        <color rgb="FF63BE7B"/>
      </colorScale>
    </cfRule>
  </conditionalFormatting>
  <conditionalFormatting sqref="AX43:BB43">
    <cfRule type="colorScale" priority="87">
      <colorScale>
        <cfvo type="percent" val="0"/>
        <cfvo type="percent" val="100"/>
        <color rgb="FFFCFCFF"/>
        <color rgb="FF63BE7B"/>
      </colorScale>
    </cfRule>
  </conditionalFormatting>
  <conditionalFormatting sqref="BC43:CL43">
    <cfRule type="colorScale" priority="86">
      <colorScale>
        <cfvo type="percent" val="0"/>
        <cfvo type="percent" val="100"/>
        <color rgb="FFFCFCFF"/>
        <color rgb="FF63BE7B"/>
      </colorScale>
    </cfRule>
  </conditionalFormatting>
  <conditionalFormatting sqref="G43">
    <cfRule type="colorScale" priority="85">
      <colorScale>
        <cfvo type="num" val="0"/>
        <cfvo type="num" val="1"/>
        <color rgb="FFFCFCFF"/>
        <color rgb="FF63BE7B"/>
      </colorScale>
    </cfRule>
  </conditionalFormatting>
  <conditionalFormatting sqref="H43">
    <cfRule type="colorScale" priority="84">
      <colorScale>
        <cfvo type="num" val="0"/>
        <cfvo type="num" val="1"/>
        <color rgb="FFFCFCFF"/>
        <color rgb="FF63BE7B"/>
      </colorScale>
    </cfRule>
  </conditionalFormatting>
  <conditionalFormatting sqref="I43">
    <cfRule type="colorScale" priority="83">
      <colorScale>
        <cfvo type="num" val="0"/>
        <cfvo type="num" val="1"/>
        <color rgb="FFFCFCFF"/>
        <color rgb="FF63BE7B"/>
      </colorScale>
    </cfRule>
  </conditionalFormatting>
  <conditionalFormatting sqref="J43">
    <cfRule type="colorScale" priority="82">
      <colorScale>
        <cfvo type="num" val="0"/>
        <cfvo type="num" val="1"/>
        <color rgb="FFFCFCFF"/>
        <color rgb="FF63BE7B"/>
      </colorScale>
    </cfRule>
  </conditionalFormatting>
  <conditionalFormatting sqref="K43">
    <cfRule type="colorScale" priority="81">
      <colorScale>
        <cfvo type="num" val="0"/>
        <cfvo type="num" val="1"/>
        <color rgb="FFFCFCFF"/>
        <color rgb="FF63BE7B"/>
      </colorScale>
    </cfRule>
  </conditionalFormatting>
  <conditionalFormatting sqref="L43">
    <cfRule type="colorScale" priority="80">
      <colorScale>
        <cfvo type="num" val="0"/>
        <cfvo type="num" val="1"/>
        <color rgb="FFFCFCFF"/>
        <color rgb="FF63BE7B"/>
      </colorScale>
    </cfRule>
  </conditionalFormatting>
  <conditionalFormatting sqref="M43">
    <cfRule type="colorScale" priority="79">
      <colorScale>
        <cfvo type="num" val="0"/>
        <cfvo type="num" val="1"/>
        <color rgb="FFFCFCFF"/>
        <color rgb="FF63BE7B"/>
      </colorScale>
    </cfRule>
  </conditionalFormatting>
  <conditionalFormatting sqref="N43">
    <cfRule type="colorScale" priority="78">
      <colorScale>
        <cfvo type="num" val="0"/>
        <cfvo type="num" val="1"/>
        <color rgb="FFFCFCFF"/>
        <color rgb="FF63BE7B"/>
      </colorScale>
    </cfRule>
  </conditionalFormatting>
  <conditionalFormatting sqref="O43">
    <cfRule type="colorScale" priority="77">
      <colorScale>
        <cfvo type="num" val="0"/>
        <cfvo type="num" val="1"/>
        <color rgb="FFFCFCFF"/>
        <color rgb="FF63BE7B"/>
      </colorScale>
    </cfRule>
  </conditionalFormatting>
  <conditionalFormatting sqref="P43">
    <cfRule type="colorScale" priority="76">
      <colorScale>
        <cfvo type="num" val="0"/>
        <cfvo type="num" val="1"/>
        <color rgb="FFFCFCFF"/>
        <color rgb="FF63BE7B"/>
      </colorScale>
    </cfRule>
  </conditionalFormatting>
  <conditionalFormatting sqref="Q43">
    <cfRule type="colorScale" priority="75">
      <colorScale>
        <cfvo type="num" val="0"/>
        <cfvo type="num" val="1"/>
        <color rgb="FFFCFCFF"/>
        <color rgb="FF63BE7B"/>
      </colorScale>
    </cfRule>
  </conditionalFormatting>
  <conditionalFormatting sqref="R43">
    <cfRule type="colorScale" priority="74">
      <colorScale>
        <cfvo type="num" val="0"/>
        <cfvo type="num" val="1"/>
        <color rgb="FFFCFCFF"/>
        <color rgb="FF63BE7B"/>
      </colorScale>
    </cfRule>
  </conditionalFormatting>
  <conditionalFormatting sqref="S43">
    <cfRule type="colorScale" priority="73">
      <colorScale>
        <cfvo type="num" val="0"/>
        <cfvo type="num" val="1"/>
        <color rgb="FFFCFCFF"/>
        <color rgb="FF63BE7B"/>
      </colorScale>
    </cfRule>
  </conditionalFormatting>
  <conditionalFormatting sqref="T43">
    <cfRule type="colorScale" priority="72">
      <colorScale>
        <cfvo type="num" val="0"/>
        <cfvo type="num" val="1"/>
        <color rgb="FFFCFCFF"/>
        <color rgb="FF63BE7B"/>
      </colorScale>
    </cfRule>
  </conditionalFormatting>
  <conditionalFormatting sqref="U43">
    <cfRule type="colorScale" priority="71">
      <colorScale>
        <cfvo type="num" val="0"/>
        <cfvo type="num" val="1"/>
        <color rgb="FFFCFCFF"/>
        <color rgb="FF63BE7B"/>
      </colorScale>
    </cfRule>
  </conditionalFormatting>
  <conditionalFormatting sqref="V43">
    <cfRule type="colorScale" priority="70">
      <colorScale>
        <cfvo type="num" val="0"/>
        <cfvo type="num" val="1"/>
        <color rgb="FFFCFCFF"/>
        <color rgb="FF63BE7B"/>
      </colorScale>
    </cfRule>
  </conditionalFormatting>
  <conditionalFormatting sqref="W43">
    <cfRule type="colorScale" priority="69">
      <colorScale>
        <cfvo type="num" val="0"/>
        <cfvo type="num" val="1"/>
        <color rgb="FFFCFCFF"/>
        <color rgb="FF63BE7B"/>
      </colorScale>
    </cfRule>
  </conditionalFormatting>
  <conditionalFormatting sqref="AA46">
    <cfRule type="colorScale" priority="68">
      <colorScale>
        <cfvo type="percent" val="0"/>
        <cfvo type="percent" val="100"/>
        <color rgb="FFFCFCFF"/>
        <color rgb="FF63BE7B"/>
      </colorScale>
    </cfRule>
  </conditionalFormatting>
  <conditionalFormatting sqref="AB46">
    <cfRule type="colorScale" priority="67">
      <colorScale>
        <cfvo type="percent" val="0"/>
        <cfvo type="percent" val="100"/>
        <color rgb="FFFCFCFF"/>
        <color rgb="FF63BE7B"/>
      </colorScale>
    </cfRule>
  </conditionalFormatting>
  <conditionalFormatting sqref="AC46">
    <cfRule type="colorScale" priority="66">
      <colorScale>
        <cfvo type="percent" val="0"/>
        <cfvo type="percent" val="100"/>
        <color rgb="FFFCFCFF"/>
        <color rgb="FF63BE7B"/>
      </colorScale>
    </cfRule>
  </conditionalFormatting>
  <conditionalFormatting sqref="AD46">
    <cfRule type="colorScale" priority="65">
      <colorScale>
        <cfvo type="percent" val="0"/>
        <cfvo type="percent" val="100"/>
        <color rgb="FFFCFCFF"/>
        <color rgb="FF63BE7B"/>
      </colorScale>
    </cfRule>
  </conditionalFormatting>
  <conditionalFormatting sqref="AE46">
    <cfRule type="colorScale" priority="64">
      <colorScale>
        <cfvo type="percent" val="0"/>
        <cfvo type="percent" val="100"/>
        <color rgb="FFFCFCFF"/>
        <color rgb="FF63BE7B"/>
      </colorScale>
    </cfRule>
  </conditionalFormatting>
  <conditionalFormatting sqref="AF46">
    <cfRule type="colorScale" priority="63">
      <colorScale>
        <cfvo type="percent" val="0"/>
        <cfvo type="percent" val="100"/>
        <color rgb="FFFCFCFF"/>
        <color rgb="FF63BE7B"/>
      </colorScale>
    </cfRule>
  </conditionalFormatting>
  <conditionalFormatting sqref="AG46">
    <cfRule type="colorScale" priority="62">
      <colorScale>
        <cfvo type="percent" val="0"/>
        <cfvo type="percent" val="100"/>
        <color rgb="FFFCFCFF"/>
        <color rgb="FF63BE7B"/>
      </colorScale>
    </cfRule>
  </conditionalFormatting>
  <conditionalFormatting sqref="AI46">
    <cfRule type="colorScale" priority="61">
      <colorScale>
        <cfvo type="percent" val="0"/>
        <cfvo type="percent" val="100"/>
        <color rgb="FFFCFCFF"/>
        <color rgb="FF63BE7B"/>
      </colorScale>
    </cfRule>
  </conditionalFormatting>
  <conditionalFormatting sqref="AJ46">
    <cfRule type="colorScale" priority="60">
      <colorScale>
        <cfvo type="percent" val="0"/>
        <cfvo type="percent" val="100"/>
        <color rgb="FFFCFCFF"/>
        <color rgb="FF63BE7B"/>
      </colorScale>
    </cfRule>
  </conditionalFormatting>
  <conditionalFormatting sqref="AK46">
    <cfRule type="colorScale" priority="59">
      <colorScale>
        <cfvo type="percent" val="0"/>
        <cfvo type="percent" val="100"/>
        <color rgb="FFFCFCFF"/>
        <color rgb="FF63BE7B"/>
      </colorScale>
    </cfRule>
  </conditionalFormatting>
  <conditionalFormatting sqref="AL46">
    <cfRule type="colorScale" priority="58">
      <colorScale>
        <cfvo type="percent" val="0"/>
        <cfvo type="percent" val="100"/>
        <color rgb="FFFCFCFF"/>
        <color rgb="FF63BE7B"/>
      </colorScale>
    </cfRule>
  </conditionalFormatting>
  <conditionalFormatting sqref="AM46">
    <cfRule type="colorScale" priority="57">
      <colorScale>
        <cfvo type="percent" val="0"/>
        <cfvo type="percent" val="100"/>
        <color rgb="FFFCFCFF"/>
        <color rgb="FF63BE7B"/>
      </colorScale>
    </cfRule>
  </conditionalFormatting>
  <conditionalFormatting sqref="AN46">
    <cfRule type="colorScale" priority="56">
      <colorScale>
        <cfvo type="percent" val="0"/>
        <cfvo type="percent" val="100"/>
        <color rgb="FFFCFCFF"/>
        <color rgb="FF63BE7B"/>
      </colorScale>
    </cfRule>
  </conditionalFormatting>
  <conditionalFormatting sqref="AP46">
    <cfRule type="colorScale" priority="55">
      <colorScale>
        <cfvo type="percent" val="0"/>
        <cfvo type="percent" val="100"/>
        <color rgb="FFFCFCFF"/>
        <color rgb="FF63BE7B"/>
      </colorScale>
    </cfRule>
  </conditionalFormatting>
  <conditionalFormatting sqref="AQ46:AV46">
    <cfRule type="colorScale" priority="54">
      <colorScale>
        <cfvo type="percent" val="0"/>
        <cfvo type="percent" val="100"/>
        <color rgb="FFFCFCFF"/>
        <color rgb="FF63BE7B"/>
      </colorScale>
    </cfRule>
  </conditionalFormatting>
  <conditionalFormatting sqref="AX46:BB46">
    <cfRule type="colorScale" priority="53">
      <colorScale>
        <cfvo type="percent" val="0"/>
        <cfvo type="percent" val="100"/>
        <color rgb="FFFCFCFF"/>
        <color rgb="FF63BE7B"/>
      </colorScale>
    </cfRule>
  </conditionalFormatting>
  <conditionalFormatting sqref="BC46:CL46">
    <cfRule type="colorScale" priority="52">
      <colorScale>
        <cfvo type="percent" val="0"/>
        <cfvo type="percent" val="100"/>
        <color rgb="FFFCFCFF"/>
        <color rgb="FF63BE7B"/>
      </colorScale>
    </cfRule>
  </conditionalFormatting>
  <conditionalFormatting sqref="G46">
    <cfRule type="colorScale" priority="51">
      <colorScale>
        <cfvo type="num" val="0"/>
        <cfvo type="num" val="1"/>
        <color rgb="FFFCFCFF"/>
        <color rgb="FF63BE7B"/>
      </colorScale>
    </cfRule>
  </conditionalFormatting>
  <conditionalFormatting sqref="H46">
    <cfRule type="colorScale" priority="50">
      <colorScale>
        <cfvo type="num" val="0"/>
        <cfvo type="num" val="1"/>
        <color rgb="FFFCFCFF"/>
        <color rgb="FF63BE7B"/>
      </colorScale>
    </cfRule>
  </conditionalFormatting>
  <conditionalFormatting sqref="I46">
    <cfRule type="colorScale" priority="49">
      <colorScale>
        <cfvo type="num" val="0"/>
        <cfvo type="num" val="1"/>
        <color rgb="FFFCFCFF"/>
        <color rgb="FF63BE7B"/>
      </colorScale>
    </cfRule>
  </conditionalFormatting>
  <conditionalFormatting sqref="J46">
    <cfRule type="colorScale" priority="48">
      <colorScale>
        <cfvo type="num" val="0"/>
        <cfvo type="num" val="1"/>
        <color rgb="FFFCFCFF"/>
        <color rgb="FF63BE7B"/>
      </colorScale>
    </cfRule>
  </conditionalFormatting>
  <conditionalFormatting sqref="K46">
    <cfRule type="colorScale" priority="47">
      <colorScale>
        <cfvo type="num" val="0"/>
        <cfvo type="num" val="1"/>
        <color rgb="FFFCFCFF"/>
        <color rgb="FF63BE7B"/>
      </colorScale>
    </cfRule>
  </conditionalFormatting>
  <conditionalFormatting sqref="L46">
    <cfRule type="colorScale" priority="46">
      <colorScale>
        <cfvo type="num" val="0"/>
        <cfvo type="num" val="1"/>
        <color rgb="FFFCFCFF"/>
        <color rgb="FF63BE7B"/>
      </colorScale>
    </cfRule>
  </conditionalFormatting>
  <conditionalFormatting sqref="M46">
    <cfRule type="colorScale" priority="45">
      <colorScale>
        <cfvo type="num" val="0"/>
        <cfvo type="num" val="1"/>
        <color rgb="FFFCFCFF"/>
        <color rgb="FF63BE7B"/>
      </colorScale>
    </cfRule>
  </conditionalFormatting>
  <conditionalFormatting sqref="N46">
    <cfRule type="colorScale" priority="44">
      <colorScale>
        <cfvo type="num" val="0"/>
        <cfvo type="num" val="1"/>
        <color rgb="FFFCFCFF"/>
        <color rgb="FF63BE7B"/>
      </colorScale>
    </cfRule>
  </conditionalFormatting>
  <conditionalFormatting sqref="O46">
    <cfRule type="colorScale" priority="43">
      <colorScale>
        <cfvo type="num" val="0"/>
        <cfvo type="num" val="1"/>
        <color rgb="FFFCFCFF"/>
        <color rgb="FF63BE7B"/>
      </colorScale>
    </cfRule>
  </conditionalFormatting>
  <conditionalFormatting sqref="P46">
    <cfRule type="colorScale" priority="42">
      <colorScale>
        <cfvo type="num" val="0"/>
        <cfvo type="num" val="1"/>
        <color rgb="FFFCFCFF"/>
        <color rgb="FF63BE7B"/>
      </colorScale>
    </cfRule>
  </conditionalFormatting>
  <conditionalFormatting sqref="Q46">
    <cfRule type="colorScale" priority="41">
      <colorScale>
        <cfvo type="num" val="0"/>
        <cfvo type="num" val="1"/>
        <color rgb="FFFCFCFF"/>
        <color rgb="FF63BE7B"/>
      </colorScale>
    </cfRule>
  </conditionalFormatting>
  <conditionalFormatting sqref="R46">
    <cfRule type="colorScale" priority="40">
      <colorScale>
        <cfvo type="num" val="0"/>
        <cfvo type="num" val="1"/>
        <color rgb="FFFCFCFF"/>
        <color rgb="FF63BE7B"/>
      </colorScale>
    </cfRule>
  </conditionalFormatting>
  <conditionalFormatting sqref="S46">
    <cfRule type="colorScale" priority="39">
      <colorScale>
        <cfvo type="num" val="0"/>
        <cfvo type="num" val="1"/>
        <color rgb="FFFCFCFF"/>
        <color rgb="FF63BE7B"/>
      </colorScale>
    </cfRule>
  </conditionalFormatting>
  <conditionalFormatting sqref="T46">
    <cfRule type="colorScale" priority="38">
      <colorScale>
        <cfvo type="num" val="0"/>
        <cfvo type="num" val="1"/>
        <color rgb="FFFCFCFF"/>
        <color rgb="FF63BE7B"/>
      </colorScale>
    </cfRule>
  </conditionalFormatting>
  <conditionalFormatting sqref="U46">
    <cfRule type="colorScale" priority="37">
      <colorScale>
        <cfvo type="num" val="0"/>
        <cfvo type="num" val="1"/>
        <color rgb="FFFCFCFF"/>
        <color rgb="FF63BE7B"/>
      </colorScale>
    </cfRule>
  </conditionalFormatting>
  <conditionalFormatting sqref="V46">
    <cfRule type="colorScale" priority="36">
      <colorScale>
        <cfvo type="num" val="0"/>
        <cfvo type="num" val="1"/>
        <color rgb="FFFCFCFF"/>
        <color rgb="FF63BE7B"/>
      </colorScale>
    </cfRule>
  </conditionalFormatting>
  <conditionalFormatting sqref="W46">
    <cfRule type="colorScale" priority="35">
      <colorScale>
        <cfvo type="num" val="0"/>
        <cfvo type="num" val="1"/>
        <color rgb="FFFCFCFF"/>
        <color rgb="FF63BE7B"/>
      </colorScale>
    </cfRule>
  </conditionalFormatting>
  <conditionalFormatting sqref="AA49">
    <cfRule type="colorScale" priority="34">
      <colorScale>
        <cfvo type="percent" val="0"/>
        <cfvo type="percent" val="100"/>
        <color rgb="FFFCFCFF"/>
        <color rgb="FF63BE7B"/>
      </colorScale>
    </cfRule>
  </conditionalFormatting>
  <conditionalFormatting sqref="AB49">
    <cfRule type="colorScale" priority="33">
      <colorScale>
        <cfvo type="percent" val="0"/>
        <cfvo type="percent" val="100"/>
        <color rgb="FFFCFCFF"/>
        <color rgb="FF63BE7B"/>
      </colorScale>
    </cfRule>
  </conditionalFormatting>
  <conditionalFormatting sqref="AC49">
    <cfRule type="colorScale" priority="32">
      <colorScale>
        <cfvo type="percent" val="0"/>
        <cfvo type="percent" val="100"/>
        <color rgb="FFFCFCFF"/>
        <color rgb="FF63BE7B"/>
      </colorScale>
    </cfRule>
  </conditionalFormatting>
  <conditionalFormatting sqref="AD49">
    <cfRule type="colorScale" priority="31">
      <colorScale>
        <cfvo type="percent" val="0"/>
        <cfvo type="percent" val="100"/>
        <color rgb="FFFCFCFF"/>
        <color rgb="FF63BE7B"/>
      </colorScale>
    </cfRule>
  </conditionalFormatting>
  <conditionalFormatting sqref="AE49">
    <cfRule type="colorScale" priority="30">
      <colorScale>
        <cfvo type="percent" val="0"/>
        <cfvo type="percent" val="100"/>
        <color rgb="FFFCFCFF"/>
        <color rgb="FF63BE7B"/>
      </colorScale>
    </cfRule>
  </conditionalFormatting>
  <conditionalFormatting sqref="AF49">
    <cfRule type="colorScale" priority="29">
      <colorScale>
        <cfvo type="percent" val="0"/>
        <cfvo type="percent" val="100"/>
        <color rgb="FFFCFCFF"/>
        <color rgb="FF63BE7B"/>
      </colorScale>
    </cfRule>
  </conditionalFormatting>
  <conditionalFormatting sqref="AG49">
    <cfRule type="colorScale" priority="28">
      <colorScale>
        <cfvo type="percent" val="0"/>
        <cfvo type="percent" val="100"/>
        <color rgb="FFFCFCFF"/>
        <color rgb="FF63BE7B"/>
      </colorScale>
    </cfRule>
  </conditionalFormatting>
  <conditionalFormatting sqref="AI49">
    <cfRule type="colorScale" priority="27">
      <colorScale>
        <cfvo type="percent" val="0"/>
        <cfvo type="percent" val="100"/>
        <color rgb="FFFCFCFF"/>
        <color rgb="FF63BE7B"/>
      </colorScale>
    </cfRule>
  </conditionalFormatting>
  <conditionalFormatting sqref="AJ49">
    <cfRule type="colorScale" priority="26">
      <colorScale>
        <cfvo type="percent" val="0"/>
        <cfvo type="percent" val="100"/>
        <color rgb="FFFCFCFF"/>
        <color rgb="FF63BE7B"/>
      </colorScale>
    </cfRule>
  </conditionalFormatting>
  <conditionalFormatting sqref="AK49">
    <cfRule type="colorScale" priority="25">
      <colorScale>
        <cfvo type="percent" val="0"/>
        <cfvo type="percent" val="100"/>
        <color rgb="FFFCFCFF"/>
        <color rgb="FF63BE7B"/>
      </colorScale>
    </cfRule>
  </conditionalFormatting>
  <conditionalFormatting sqref="AL49">
    <cfRule type="colorScale" priority="24">
      <colorScale>
        <cfvo type="percent" val="0"/>
        <cfvo type="percent" val="100"/>
        <color rgb="FFFCFCFF"/>
        <color rgb="FF63BE7B"/>
      </colorScale>
    </cfRule>
  </conditionalFormatting>
  <conditionalFormatting sqref="AM49">
    <cfRule type="colorScale" priority="23">
      <colorScale>
        <cfvo type="percent" val="0"/>
        <cfvo type="percent" val="100"/>
        <color rgb="FFFCFCFF"/>
        <color rgb="FF63BE7B"/>
      </colorScale>
    </cfRule>
  </conditionalFormatting>
  <conditionalFormatting sqref="AN49">
    <cfRule type="colorScale" priority="22">
      <colorScale>
        <cfvo type="percent" val="0"/>
        <cfvo type="percent" val="100"/>
        <color rgb="FFFCFCFF"/>
        <color rgb="FF63BE7B"/>
      </colorScale>
    </cfRule>
  </conditionalFormatting>
  <conditionalFormatting sqref="AP49">
    <cfRule type="colorScale" priority="21">
      <colorScale>
        <cfvo type="percent" val="0"/>
        <cfvo type="percent" val="100"/>
        <color rgb="FFFCFCFF"/>
        <color rgb="FF63BE7B"/>
      </colorScale>
    </cfRule>
  </conditionalFormatting>
  <conditionalFormatting sqref="AQ49:AV49">
    <cfRule type="colorScale" priority="20">
      <colorScale>
        <cfvo type="percent" val="0"/>
        <cfvo type="percent" val="100"/>
        <color rgb="FFFCFCFF"/>
        <color rgb="FF63BE7B"/>
      </colorScale>
    </cfRule>
  </conditionalFormatting>
  <conditionalFormatting sqref="AX49:BB49">
    <cfRule type="colorScale" priority="19">
      <colorScale>
        <cfvo type="percent" val="0"/>
        <cfvo type="percent" val="100"/>
        <color rgb="FFFCFCFF"/>
        <color rgb="FF63BE7B"/>
      </colorScale>
    </cfRule>
  </conditionalFormatting>
  <conditionalFormatting sqref="BC49:CL49">
    <cfRule type="colorScale" priority="18">
      <colorScale>
        <cfvo type="percent" val="0"/>
        <cfvo type="percent" val="100"/>
        <color rgb="FFFCFCFF"/>
        <color rgb="FF63BE7B"/>
      </colorScale>
    </cfRule>
  </conditionalFormatting>
  <conditionalFormatting sqref="G49">
    <cfRule type="colorScale" priority="17">
      <colorScale>
        <cfvo type="num" val="0"/>
        <cfvo type="num" val="1"/>
        <color rgb="FFFCFCFF"/>
        <color rgb="FF63BE7B"/>
      </colorScale>
    </cfRule>
  </conditionalFormatting>
  <conditionalFormatting sqref="H49">
    <cfRule type="colorScale" priority="16">
      <colorScale>
        <cfvo type="num" val="0"/>
        <cfvo type="num" val="1"/>
        <color rgb="FFFCFCFF"/>
        <color rgb="FF63BE7B"/>
      </colorScale>
    </cfRule>
  </conditionalFormatting>
  <conditionalFormatting sqref="I49">
    <cfRule type="colorScale" priority="15">
      <colorScale>
        <cfvo type="num" val="0"/>
        <cfvo type="num" val="1"/>
        <color rgb="FFFCFCFF"/>
        <color rgb="FF63BE7B"/>
      </colorScale>
    </cfRule>
  </conditionalFormatting>
  <conditionalFormatting sqref="J49">
    <cfRule type="colorScale" priority="14">
      <colorScale>
        <cfvo type="num" val="0"/>
        <cfvo type="num" val="1"/>
        <color rgb="FFFCFCFF"/>
        <color rgb="FF63BE7B"/>
      </colorScale>
    </cfRule>
  </conditionalFormatting>
  <conditionalFormatting sqref="K49">
    <cfRule type="colorScale" priority="13">
      <colorScale>
        <cfvo type="num" val="0"/>
        <cfvo type="num" val="1"/>
        <color rgb="FFFCFCFF"/>
        <color rgb="FF63BE7B"/>
      </colorScale>
    </cfRule>
  </conditionalFormatting>
  <conditionalFormatting sqref="L49">
    <cfRule type="colorScale" priority="12">
      <colorScale>
        <cfvo type="num" val="0"/>
        <cfvo type="num" val="1"/>
        <color rgb="FFFCFCFF"/>
        <color rgb="FF63BE7B"/>
      </colorScale>
    </cfRule>
  </conditionalFormatting>
  <conditionalFormatting sqref="M49">
    <cfRule type="colorScale" priority="11">
      <colorScale>
        <cfvo type="num" val="0"/>
        <cfvo type="num" val="1"/>
        <color rgb="FFFCFCFF"/>
        <color rgb="FF63BE7B"/>
      </colorScale>
    </cfRule>
  </conditionalFormatting>
  <conditionalFormatting sqref="N49">
    <cfRule type="colorScale" priority="10">
      <colorScale>
        <cfvo type="num" val="0"/>
        <cfvo type="num" val="1"/>
        <color rgb="FFFCFCFF"/>
        <color rgb="FF63BE7B"/>
      </colorScale>
    </cfRule>
  </conditionalFormatting>
  <conditionalFormatting sqref="O49">
    <cfRule type="colorScale" priority="9">
      <colorScale>
        <cfvo type="num" val="0"/>
        <cfvo type="num" val="1"/>
        <color rgb="FFFCFCFF"/>
        <color rgb="FF63BE7B"/>
      </colorScale>
    </cfRule>
  </conditionalFormatting>
  <conditionalFormatting sqref="P49">
    <cfRule type="colorScale" priority="8">
      <colorScale>
        <cfvo type="num" val="0"/>
        <cfvo type="num" val="1"/>
        <color rgb="FFFCFCFF"/>
        <color rgb="FF63BE7B"/>
      </colorScale>
    </cfRule>
  </conditionalFormatting>
  <conditionalFormatting sqref="Q49">
    <cfRule type="colorScale" priority="7">
      <colorScale>
        <cfvo type="num" val="0"/>
        <cfvo type="num" val="1"/>
        <color rgb="FFFCFCFF"/>
        <color rgb="FF63BE7B"/>
      </colorScale>
    </cfRule>
  </conditionalFormatting>
  <conditionalFormatting sqref="R49">
    <cfRule type="colorScale" priority="6">
      <colorScale>
        <cfvo type="num" val="0"/>
        <cfvo type="num" val="1"/>
        <color rgb="FFFCFCFF"/>
        <color rgb="FF63BE7B"/>
      </colorScale>
    </cfRule>
  </conditionalFormatting>
  <conditionalFormatting sqref="S49">
    <cfRule type="colorScale" priority="5">
      <colorScale>
        <cfvo type="num" val="0"/>
        <cfvo type="num" val="1"/>
        <color rgb="FFFCFCFF"/>
        <color rgb="FF63BE7B"/>
      </colorScale>
    </cfRule>
  </conditionalFormatting>
  <conditionalFormatting sqref="T49">
    <cfRule type="colorScale" priority="4">
      <colorScale>
        <cfvo type="num" val="0"/>
        <cfvo type="num" val="1"/>
        <color rgb="FFFCFCFF"/>
        <color rgb="FF63BE7B"/>
      </colorScale>
    </cfRule>
  </conditionalFormatting>
  <conditionalFormatting sqref="U49">
    <cfRule type="colorScale" priority="3">
      <colorScale>
        <cfvo type="num" val="0"/>
        <cfvo type="num" val="1"/>
        <color rgb="FFFCFCFF"/>
        <color rgb="FF63BE7B"/>
      </colorScale>
    </cfRule>
  </conditionalFormatting>
  <conditionalFormatting sqref="V49">
    <cfRule type="colorScale" priority="2">
      <colorScale>
        <cfvo type="num" val="0"/>
        <cfvo type="num" val="1"/>
        <color rgb="FFFCFCFF"/>
        <color rgb="FF63BE7B"/>
      </colorScale>
    </cfRule>
  </conditionalFormatting>
  <conditionalFormatting sqref="W49">
    <cfRule type="colorScale" priority="1">
      <colorScale>
        <cfvo type="num" val="0"/>
        <cfvo type="num" val="1"/>
        <color rgb="FFFCFCFF"/>
        <color rgb="FF63BE7B"/>
      </colorScale>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H66"/>
  <sheetViews>
    <sheetView zoomScaleNormal="100" workbookViewId="0">
      <pane xSplit="4" ySplit="1" topLeftCell="P2" activePane="bottomRight" state="frozenSplit"/>
      <selection pane="topRight" activeCell="A7" sqref="A7"/>
      <selection pane="bottomLeft" activeCell="A7" sqref="A7"/>
      <selection pane="bottomRight" activeCell="A7" sqref="A7"/>
    </sheetView>
  </sheetViews>
  <sheetFormatPr defaultRowHeight="15"/>
  <cols>
    <col min="1" max="1" width="10.140625" bestFit="1" customWidth="1"/>
    <col min="2" max="2" width="14.140625" customWidth="1"/>
    <col min="3" max="3" width="15.42578125" bestFit="1" customWidth="1"/>
    <col min="4" max="4" width="11.140625" bestFit="1" customWidth="1"/>
    <col min="5" max="6" width="16" bestFit="1" customWidth="1"/>
    <col min="7" max="7" width="11.5703125" bestFit="1" customWidth="1"/>
    <col min="10" max="10" width="8.7109375" bestFit="1" customWidth="1"/>
    <col min="11" max="11" width="8" customWidth="1"/>
    <col min="20" max="20" width="14.140625" customWidth="1"/>
    <col min="21" max="21" width="13.42578125" bestFit="1" customWidth="1"/>
    <col min="22" max="22" width="13.5703125" bestFit="1" customWidth="1"/>
    <col min="31" max="31" width="11.85546875" bestFit="1" customWidth="1"/>
    <col min="32" max="38" width="11" customWidth="1"/>
    <col min="42" max="42" width="9.7109375" bestFit="1" customWidth="1"/>
    <col min="43" max="45" width="11.85546875" bestFit="1" customWidth="1"/>
    <col min="46" max="46" width="9.28515625" bestFit="1" customWidth="1"/>
    <col min="47" max="55" width="11.85546875" bestFit="1" customWidth="1"/>
    <col min="56" max="56" width="9.7109375" bestFit="1" customWidth="1"/>
    <col min="57" max="57" width="11.85546875" bestFit="1" customWidth="1"/>
    <col min="58" max="58" width="10.7109375" bestFit="1" customWidth="1"/>
    <col min="59" max="66" width="11.85546875" bestFit="1" customWidth="1"/>
    <col min="67" max="67" width="10.7109375" bestFit="1" customWidth="1"/>
    <col min="68" max="71" width="11.85546875" bestFit="1" customWidth="1"/>
    <col min="72" max="72" width="9.7109375" bestFit="1" customWidth="1"/>
    <col min="73" max="79" width="11.85546875" bestFit="1" customWidth="1"/>
  </cols>
  <sheetData>
    <row r="1" spans="1:86" ht="45">
      <c r="A1" s="16" t="s">
        <v>18</v>
      </c>
      <c r="B1" s="12" t="s">
        <v>21</v>
      </c>
      <c r="C1" s="12" t="s">
        <v>23</v>
      </c>
      <c r="D1" s="12" t="s">
        <v>25</v>
      </c>
      <c r="E1" s="12" t="s">
        <v>27</v>
      </c>
      <c r="F1" s="12" t="s">
        <v>29</v>
      </c>
      <c r="G1" s="12" t="s">
        <v>211</v>
      </c>
      <c r="H1" s="12" t="s">
        <v>213</v>
      </c>
      <c r="I1" s="12" t="s">
        <v>215</v>
      </c>
      <c r="J1" s="12" t="s">
        <v>217</v>
      </c>
      <c r="K1" s="12" t="s">
        <v>220</v>
      </c>
      <c r="L1" s="12" t="s">
        <v>224</v>
      </c>
      <c r="M1" s="12" t="s">
        <v>226</v>
      </c>
      <c r="N1" s="12" t="s">
        <v>228</v>
      </c>
      <c r="O1" s="12" t="s">
        <v>230</v>
      </c>
      <c r="P1" s="12" t="s">
        <v>232</v>
      </c>
      <c r="Q1" s="12" t="s">
        <v>508</v>
      </c>
      <c r="R1" s="12" t="s">
        <v>509</v>
      </c>
      <c r="S1" s="12" t="s">
        <v>510</v>
      </c>
      <c r="T1" s="12" t="s">
        <v>511</v>
      </c>
      <c r="U1" s="12" t="s">
        <v>512</v>
      </c>
      <c r="V1" s="12" t="s">
        <v>513</v>
      </c>
      <c r="W1" s="12" t="s">
        <v>234</v>
      </c>
      <c r="X1" s="12" t="s">
        <v>236</v>
      </c>
      <c r="Y1" s="12" t="s">
        <v>238</v>
      </c>
      <c r="Z1" s="12" t="s">
        <v>240</v>
      </c>
      <c r="AA1" s="12" t="s">
        <v>242</v>
      </c>
      <c r="AB1" s="12" t="s">
        <v>244</v>
      </c>
      <c r="AC1" s="12" t="s">
        <v>246</v>
      </c>
      <c r="AD1" s="12" t="s">
        <v>514</v>
      </c>
      <c r="AE1" s="12" t="s">
        <v>515</v>
      </c>
      <c r="AF1" s="12" t="s">
        <v>248</v>
      </c>
      <c r="AG1" s="12" t="s">
        <v>250</v>
      </c>
      <c r="AH1" s="12" t="s">
        <v>252</v>
      </c>
      <c r="AI1" s="12" t="s">
        <v>254</v>
      </c>
      <c r="AJ1" s="12" t="s">
        <v>256</v>
      </c>
      <c r="AK1" s="12" t="s">
        <v>516</v>
      </c>
      <c r="AL1" s="12" t="s">
        <v>517</v>
      </c>
      <c r="AM1" s="12" t="s">
        <v>518</v>
      </c>
      <c r="AN1" s="12" t="s">
        <v>261</v>
      </c>
      <c r="AO1" s="12" t="s">
        <v>258</v>
      </c>
      <c r="AP1" s="12" t="s">
        <v>269</v>
      </c>
      <c r="AQ1" s="12" t="s">
        <v>267</v>
      </c>
      <c r="AR1" s="12" t="s">
        <v>265</v>
      </c>
      <c r="AS1" s="8" t="s">
        <v>519</v>
      </c>
      <c r="AT1" s="8" t="s">
        <v>520</v>
      </c>
      <c r="AU1" s="8" t="s">
        <v>521</v>
      </c>
      <c r="AV1" s="8" t="s">
        <v>522</v>
      </c>
      <c r="AW1" s="8" t="s">
        <v>523</v>
      </c>
      <c r="AX1" s="8" t="s">
        <v>524</v>
      </c>
      <c r="AY1" s="8" t="s">
        <v>525</v>
      </c>
      <c r="AZ1" s="8" t="s">
        <v>526</v>
      </c>
      <c r="BA1" s="8" t="s">
        <v>271</v>
      </c>
      <c r="BB1" s="8" t="s">
        <v>527</v>
      </c>
      <c r="BC1" s="157">
        <v>6.04</v>
      </c>
      <c r="BD1" s="157">
        <v>6.98</v>
      </c>
      <c r="BE1" s="157">
        <v>8.06</v>
      </c>
      <c r="BF1" s="157">
        <v>9.31</v>
      </c>
      <c r="BG1" s="157">
        <v>10.8</v>
      </c>
      <c r="BH1" s="157">
        <v>12.4</v>
      </c>
      <c r="BI1" s="157">
        <v>14.3</v>
      </c>
      <c r="BJ1" s="157">
        <v>16.5</v>
      </c>
      <c r="BK1" s="157">
        <v>19.100000000000001</v>
      </c>
      <c r="BL1" s="157">
        <v>22.1</v>
      </c>
      <c r="BM1" s="157">
        <v>25.5</v>
      </c>
      <c r="BN1" s="157">
        <v>29.4</v>
      </c>
      <c r="BO1" s="157">
        <v>34</v>
      </c>
      <c r="BP1" s="157">
        <v>39.200000000000003</v>
      </c>
      <c r="BQ1" s="157">
        <v>45.3</v>
      </c>
      <c r="BR1" s="157">
        <v>52.3</v>
      </c>
      <c r="BS1" s="157">
        <v>60.4</v>
      </c>
      <c r="BT1" s="157">
        <v>69.8</v>
      </c>
      <c r="BU1" s="157">
        <v>80.599999999999994</v>
      </c>
      <c r="BV1" s="157">
        <v>93.1</v>
      </c>
      <c r="BW1" s="157">
        <v>107.5</v>
      </c>
      <c r="BX1" s="157">
        <v>124.1</v>
      </c>
      <c r="BY1" s="157">
        <v>143.30000000000001</v>
      </c>
      <c r="BZ1" s="157">
        <v>165.5</v>
      </c>
      <c r="CA1" s="157">
        <v>191.1</v>
      </c>
      <c r="CB1" s="157">
        <v>220.7</v>
      </c>
      <c r="CC1" s="157">
        <v>254.8</v>
      </c>
      <c r="CD1" s="157">
        <v>294.3</v>
      </c>
      <c r="CE1" s="157">
        <v>339.8</v>
      </c>
      <c r="CF1" s="157">
        <v>392.4</v>
      </c>
      <c r="CG1" s="157">
        <v>453.2</v>
      </c>
      <c r="CH1" s="157">
        <v>523.29999999999995</v>
      </c>
    </row>
    <row r="2" spans="1:86" s="71" customFormat="1" ht="15" customHeight="1">
      <c r="A2" s="70">
        <v>44301</v>
      </c>
      <c r="B2" s="70" t="s">
        <v>488</v>
      </c>
      <c r="C2" s="70" t="s">
        <v>489</v>
      </c>
      <c r="D2" s="126" t="s">
        <v>528</v>
      </c>
      <c r="E2" s="127">
        <v>44301.404166666667</v>
      </c>
      <c r="F2" s="127">
        <v>44301.571875000001</v>
      </c>
      <c r="G2" s="118">
        <v>0.124541</v>
      </c>
      <c r="H2" s="118">
        <v>1.00207E-2</v>
      </c>
      <c r="I2" s="118">
        <v>20.957699999999999</v>
      </c>
      <c r="J2" s="124">
        <v>430.62400000000002</v>
      </c>
      <c r="K2" s="118">
        <v>-1.7608600000000001</v>
      </c>
      <c r="L2" s="118">
        <v>2.6381100000000002</v>
      </c>
      <c r="M2" s="44"/>
      <c r="N2" s="73">
        <v>2.8635000000000001E-2</v>
      </c>
      <c r="O2" s="73">
        <v>1.36788E-2</v>
      </c>
      <c r="P2" s="118">
        <v>40.6813</v>
      </c>
      <c r="Q2" s="118">
        <v>0.83239600000000002</v>
      </c>
      <c r="R2" s="118">
        <v>-0.35083900000000001</v>
      </c>
      <c r="S2" s="118">
        <v>10.5861</v>
      </c>
      <c r="T2" s="119">
        <v>6.3633599999999998E-2</v>
      </c>
      <c r="U2" s="119">
        <v>0</v>
      </c>
      <c r="V2" s="119">
        <v>5.0387700000000001E-2</v>
      </c>
      <c r="W2" s="73">
        <v>2.6061999999999998E-4</v>
      </c>
      <c r="X2" s="73">
        <v>2.23444E-4</v>
      </c>
      <c r="Y2" s="73">
        <v>2.1024800000000001E-4</v>
      </c>
      <c r="Z2" s="73">
        <v>2.1063399999999999E-4</v>
      </c>
      <c r="AA2" s="73">
        <v>1.8222600000000001E-4</v>
      </c>
      <c r="AB2" s="73">
        <v>1.25709E-4</v>
      </c>
      <c r="AC2" s="73">
        <v>-2.6412599999999998E-5</v>
      </c>
      <c r="AD2" s="71">
        <v>633</v>
      </c>
      <c r="AE2" s="78"/>
      <c r="AF2" s="44"/>
      <c r="AG2" s="44"/>
      <c r="AH2" s="44"/>
      <c r="AI2" s="44"/>
      <c r="AJ2" s="44"/>
      <c r="AK2" s="44"/>
      <c r="AL2" s="78"/>
      <c r="AM2" s="44"/>
      <c r="AN2" s="44"/>
      <c r="AO2" s="44"/>
      <c r="AP2" s="44"/>
      <c r="AQ2" s="44"/>
      <c r="AR2" s="44"/>
      <c r="AS2" s="44"/>
      <c r="AT2" s="78"/>
      <c r="AU2" s="78"/>
      <c r="AV2" s="78"/>
      <c r="AW2" s="78"/>
      <c r="AX2" s="78"/>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row>
    <row r="3" spans="1:86" ht="15" customHeight="1">
      <c r="A3" s="20">
        <v>44308</v>
      </c>
      <c r="B3" s="20" t="s">
        <v>488</v>
      </c>
      <c r="C3" s="20" t="s">
        <v>529</v>
      </c>
      <c r="D3" s="20" t="s">
        <v>501</v>
      </c>
      <c r="E3" s="22">
        <v>44308.381249999999</v>
      </c>
      <c r="F3" s="22">
        <v>44308.405555555553</v>
      </c>
      <c r="G3" s="25">
        <v>8.4894099999999995</v>
      </c>
      <c r="H3" s="25">
        <v>0.82381700000000002</v>
      </c>
      <c r="I3" s="25">
        <v>12.272399999999999</v>
      </c>
      <c r="J3" s="6">
        <v>2034.36</v>
      </c>
      <c r="K3" s="25">
        <v>109.229</v>
      </c>
      <c r="L3" s="25">
        <v>86.252300000000005</v>
      </c>
      <c r="M3" s="9">
        <v>17.988700000000001</v>
      </c>
      <c r="N3" s="9">
        <v>1.97106</v>
      </c>
      <c r="O3" s="9">
        <v>1.78566</v>
      </c>
      <c r="P3" s="25">
        <v>165.75899999999999</v>
      </c>
      <c r="Q3" s="25">
        <v>72.816999999999993</v>
      </c>
      <c r="R3" s="25">
        <v>66.729900000000001</v>
      </c>
      <c r="S3" s="25">
        <v>12.2791</v>
      </c>
      <c r="T3" s="30">
        <v>23.330100000000002</v>
      </c>
      <c r="U3" s="30">
        <v>0.77095899999999995</v>
      </c>
      <c r="V3" s="30">
        <v>16.3672</v>
      </c>
      <c r="W3" s="9">
        <v>1.72437</v>
      </c>
      <c r="X3" s="9">
        <v>1.7119599999999999</v>
      </c>
      <c r="Y3" s="9">
        <v>2.2243400000000002</v>
      </c>
      <c r="Z3" s="9">
        <v>2.4998800000000001</v>
      </c>
      <c r="AA3" s="9">
        <v>2.7873600000000001</v>
      </c>
      <c r="AB3" s="9">
        <v>3.3674300000000001</v>
      </c>
      <c r="AC3" s="9">
        <v>4.8445299999999998</v>
      </c>
      <c r="AD3">
        <v>513</v>
      </c>
      <c r="AE3" s="109" cm="1">
        <f t="array" ref="AE3">1-SLOPE(LN(W3:AC3),LN($W$27:$AC$27))</f>
        <v>2.0818860740424006</v>
      </c>
      <c r="AF3" s="9">
        <v>1.6765399999999999</v>
      </c>
      <c r="AG3" s="9">
        <v>1.9019999999999999</v>
      </c>
      <c r="AH3" s="9">
        <v>2.1215799999999998</v>
      </c>
      <c r="AI3" s="9">
        <v>2.3890899999999999</v>
      </c>
      <c r="AJ3" s="9">
        <v>3.15815</v>
      </c>
      <c r="AK3">
        <v>30</v>
      </c>
      <c r="AL3" s="9" cm="1">
        <f t="array" ref="AL3">1-SLOPE(LN(AF3:AJ3),LN($AF$27:$AJ$27))</f>
        <v>1.7220754839986874</v>
      </c>
      <c r="AM3" s="6">
        <v>22068.2</v>
      </c>
      <c r="AN3" s="6">
        <v>9544.9599999999991</v>
      </c>
      <c r="AO3" s="6">
        <v>4857.9799999999996</v>
      </c>
      <c r="AP3" s="6">
        <v>153527</v>
      </c>
      <c r="AQ3" s="6">
        <v>110492</v>
      </c>
      <c r="AR3" s="6">
        <v>50574</v>
      </c>
      <c r="AS3">
        <v>136</v>
      </c>
      <c r="AT3" s="2">
        <f t="shared" ref="AT3:AT12" si="0">AP3/(AP3+AM3)</f>
        <v>0.87432344392101824</v>
      </c>
      <c r="AU3" s="2">
        <f t="shared" ref="AU3:AU12" si="1">AQ3/(AQ3+AN3)</f>
        <v>0.92048315785404766</v>
      </c>
      <c r="AV3" s="2">
        <f t="shared" ref="AV3:AV12" si="2">AR3/(AR3+AO3)</f>
        <v>0.91236142024874456</v>
      </c>
      <c r="AW3" s="9" cm="1">
        <f t="array" ref="AW3">-SLOPE(LN(AM3:AO3),LN($AM$27:$AO$27))</f>
        <v>2.2691068280652384</v>
      </c>
      <c r="AX3" s="9" cm="1">
        <f t="array" ref="AX3">-SLOPE(LN(AP3:AR3),LN($AM$27:$AO$27))</f>
        <v>1.7134897584997351</v>
      </c>
      <c r="AY3" s="25">
        <v>145.434</v>
      </c>
      <c r="AZ3" s="2">
        <v>1.0796600000000001</v>
      </c>
      <c r="BA3" s="18">
        <v>1073620</v>
      </c>
      <c r="BB3" s="18">
        <v>313472</v>
      </c>
      <c r="BC3" s="9">
        <v>2.2797999999999998</v>
      </c>
      <c r="BD3" s="9">
        <v>2.4562900000000001</v>
      </c>
      <c r="BE3" s="9">
        <v>2.6072299999999999</v>
      </c>
      <c r="BF3" s="9">
        <v>4.2145200000000003</v>
      </c>
      <c r="BG3" s="9">
        <v>4.5505899999999997</v>
      </c>
      <c r="BH3" s="9">
        <v>4.6617199999999999</v>
      </c>
      <c r="BI3" s="9">
        <v>9.7439599999999995</v>
      </c>
      <c r="BJ3" s="9">
        <v>16.775300000000001</v>
      </c>
      <c r="BK3" s="9">
        <v>24.591100000000001</v>
      </c>
      <c r="BL3" s="9">
        <v>33.015500000000003</v>
      </c>
      <c r="BM3" s="9">
        <v>39.693800000000003</v>
      </c>
      <c r="BN3" s="9">
        <v>44.3001</v>
      </c>
      <c r="BO3" s="9">
        <v>51.447499999999998</v>
      </c>
      <c r="BP3" s="9">
        <v>61.2654</v>
      </c>
      <c r="BQ3" s="9">
        <v>71.828699999999998</v>
      </c>
      <c r="BR3" s="9">
        <v>83.180400000000006</v>
      </c>
      <c r="BS3" s="9">
        <v>96.811400000000006</v>
      </c>
      <c r="BT3" s="9">
        <v>112.753</v>
      </c>
      <c r="BU3" s="9">
        <v>131.98400000000001</v>
      </c>
      <c r="BV3" s="9">
        <v>158.73400000000001</v>
      </c>
      <c r="BW3" s="9">
        <v>180.78200000000001</v>
      </c>
      <c r="BX3" s="9">
        <v>197.79599999999999</v>
      </c>
      <c r="BY3" s="9">
        <v>212.505</v>
      </c>
      <c r="BZ3" s="9">
        <v>224.89599999999999</v>
      </c>
      <c r="CA3" s="9">
        <v>215.22499999999999</v>
      </c>
      <c r="CB3" s="9">
        <v>183.49199999999999</v>
      </c>
      <c r="CC3" s="9">
        <v>150.00299999999999</v>
      </c>
      <c r="CD3" s="9">
        <v>114.759</v>
      </c>
      <c r="CE3" s="9">
        <v>91.037199999999999</v>
      </c>
      <c r="CF3" s="9">
        <v>78.837500000000006</v>
      </c>
      <c r="CG3" s="9">
        <v>68.223399999999998</v>
      </c>
      <c r="CH3" s="9">
        <v>59.194800000000001</v>
      </c>
    </row>
    <row r="4" spans="1:86" ht="15" customHeight="1">
      <c r="A4" s="20">
        <v>44308</v>
      </c>
      <c r="B4" s="20" t="s">
        <v>488</v>
      </c>
      <c r="C4" s="20" t="s">
        <v>529</v>
      </c>
      <c r="D4" s="20" t="s">
        <v>504</v>
      </c>
      <c r="E4" s="22">
        <v>44308.406944444447</v>
      </c>
      <c r="F4" s="22">
        <v>44308.557638888888</v>
      </c>
      <c r="G4" s="25">
        <v>9.9315899999999999</v>
      </c>
      <c r="H4" s="25">
        <v>0.115884</v>
      </c>
      <c r="I4" s="25">
        <v>11.117100000000001</v>
      </c>
      <c r="J4" s="6">
        <v>1359.26</v>
      </c>
      <c r="K4" s="25">
        <v>18.224799999999998</v>
      </c>
      <c r="L4" s="25">
        <v>45.237499999999997</v>
      </c>
      <c r="M4" s="9">
        <v>19.4877</v>
      </c>
      <c r="N4" s="9">
        <v>0.90268300000000001</v>
      </c>
      <c r="O4" s="9">
        <v>0.87146800000000002</v>
      </c>
      <c r="P4" s="25">
        <v>113.854</v>
      </c>
      <c r="Q4" s="25">
        <v>107.81</v>
      </c>
      <c r="R4" s="25">
        <v>28.122399999999999</v>
      </c>
      <c r="S4" s="25">
        <v>11.942299999999999</v>
      </c>
      <c r="T4" s="30">
        <v>4.8481899999999998</v>
      </c>
      <c r="U4" s="30">
        <v>9.5489199999999996E-2</v>
      </c>
      <c r="V4" s="30">
        <v>2.9740799999999998</v>
      </c>
      <c r="W4" s="9">
        <v>0.21787400000000001</v>
      </c>
      <c r="X4" s="9">
        <v>0.221611</v>
      </c>
      <c r="Y4" s="9">
        <v>0.32958399999999999</v>
      </c>
      <c r="Z4" s="9">
        <v>0.396569</v>
      </c>
      <c r="AA4" s="9">
        <v>0.46367999999999998</v>
      </c>
      <c r="AB4" s="9">
        <v>0.59404999999999997</v>
      </c>
      <c r="AC4" s="9">
        <v>0.903088</v>
      </c>
      <c r="AD4">
        <v>985</v>
      </c>
      <c r="AE4" s="109" cm="1">
        <f t="array" ref="AE4">1-SLOPE(LN(W4:AC4),LN($W$27:$AC$27))</f>
        <v>2.5202162846321574</v>
      </c>
      <c r="AF4" s="9">
        <v>0.24029800000000001</v>
      </c>
      <c r="AG4" s="9">
        <v>0.34282699999999999</v>
      </c>
      <c r="AH4" s="9">
        <v>0.41651300000000002</v>
      </c>
      <c r="AI4" s="9">
        <v>0.48675400000000002</v>
      </c>
      <c r="AJ4" s="9">
        <v>0.62062899999999999</v>
      </c>
      <c r="AK4">
        <v>31</v>
      </c>
      <c r="AL4" s="9" cm="1">
        <f t="array" ref="AL4">1-SLOPE(LN(AF4:AJ4),LN($AF$27:$AJ$27))</f>
        <v>2.1212989872303325</v>
      </c>
      <c r="AM4" s="6">
        <v>4398.84</v>
      </c>
      <c r="AN4" s="6">
        <v>1767.58</v>
      </c>
      <c r="AO4" s="6">
        <v>750.60299999999995</v>
      </c>
      <c r="AP4" s="6">
        <v>29981.3</v>
      </c>
      <c r="AQ4" s="6">
        <v>19312.7</v>
      </c>
      <c r="AR4" s="6">
        <v>6981.73</v>
      </c>
      <c r="AS4">
        <v>683</v>
      </c>
      <c r="AT4" s="2">
        <f t="shared" si="0"/>
        <v>0.87205287703889511</v>
      </c>
      <c r="AU4" s="2">
        <f t="shared" si="1"/>
        <v>0.91615007011292082</v>
      </c>
      <c r="AV4" s="2">
        <f t="shared" si="2"/>
        <v>0.90292671047664397</v>
      </c>
      <c r="AW4" s="9" cm="1">
        <f t="array" ref="AW4">-SLOPE(LN(AM4:AO4),LN($AM$27:$AO$27))</f>
        <v>2.6624483432124655</v>
      </c>
      <c r="AX4" s="9" cm="1">
        <f t="array" ref="AX4">-SLOPE(LN(AP4:AR4),LN($AM$27:$AO$27))</f>
        <v>2.2473016906364984</v>
      </c>
      <c r="AY4" s="25">
        <v>136.02600000000001</v>
      </c>
      <c r="AZ4" s="2">
        <v>0.782555</v>
      </c>
      <c r="BA4" s="18">
        <v>403655</v>
      </c>
      <c r="BB4" s="18">
        <v>88123.6</v>
      </c>
      <c r="BC4" s="9">
        <v>0.49277199999999999</v>
      </c>
      <c r="BD4" s="9">
        <v>1.52539</v>
      </c>
      <c r="BE4" s="9">
        <v>2.1005400000000001</v>
      </c>
      <c r="BF4" s="9">
        <v>3.5877400000000002</v>
      </c>
      <c r="BG4" s="9">
        <v>3.56101</v>
      </c>
      <c r="BH4" s="9">
        <v>1.6584399999999999</v>
      </c>
      <c r="BI4" s="9">
        <v>1.84751</v>
      </c>
      <c r="BJ4" s="9">
        <v>2.64628</v>
      </c>
      <c r="BK4" s="9">
        <v>2.8387099999999998</v>
      </c>
      <c r="BL4" s="9">
        <v>2.0925199999999999</v>
      </c>
      <c r="BM4" s="9">
        <v>1.3716900000000001</v>
      </c>
      <c r="BN4" s="9">
        <v>1.1053599999999999</v>
      </c>
      <c r="BO4" s="9">
        <v>2.26437</v>
      </c>
      <c r="BP4" s="9">
        <v>6.4211900000000002</v>
      </c>
      <c r="BQ4" s="9">
        <v>13.774900000000001</v>
      </c>
      <c r="BR4" s="9">
        <v>23.343499999999999</v>
      </c>
      <c r="BS4" s="9">
        <v>36.608400000000003</v>
      </c>
      <c r="BT4" s="9">
        <v>53.540300000000002</v>
      </c>
      <c r="BU4" s="9">
        <v>69.833299999999994</v>
      </c>
      <c r="BV4" s="9">
        <v>85.405799999999999</v>
      </c>
      <c r="BW4" s="9">
        <v>96.529700000000005</v>
      </c>
      <c r="BX4" s="9">
        <v>103.205</v>
      </c>
      <c r="BY4" s="9">
        <v>106.006</v>
      </c>
      <c r="BZ4" s="9">
        <v>104.932</v>
      </c>
      <c r="CA4" s="9">
        <v>93.165800000000004</v>
      </c>
      <c r="CB4" s="9">
        <v>70.707700000000003</v>
      </c>
      <c r="CC4" s="9">
        <v>51.601100000000002</v>
      </c>
      <c r="CD4" s="9">
        <v>35.8459</v>
      </c>
      <c r="CE4" s="9">
        <v>25.6098</v>
      </c>
      <c r="CF4" s="9">
        <v>20.892700000000001</v>
      </c>
      <c r="CG4" s="9">
        <v>17.223700000000001</v>
      </c>
      <c r="CH4" s="9">
        <v>14.6029</v>
      </c>
    </row>
    <row r="5" spans="1:86" ht="15" customHeight="1">
      <c r="A5" s="20">
        <v>44312</v>
      </c>
      <c r="B5" s="20" t="s">
        <v>488</v>
      </c>
      <c r="C5" s="20" t="s">
        <v>529</v>
      </c>
      <c r="D5" s="20" t="s">
        <v>501</v>
      </c>
      <c r="E5" s="22">
        <v>44312.376388888886</v>
      </c>
      <c r="F5" s="22">
        <v>44312.395833333336</v>
      </c>
      <c r="G5" s="130">
        <v>7.96983</v>
      </c>
      <c r="H5" s="25">
        <v>0.69052899999999995</v>
      </c>
      <c r="I5" s="25">
        <v>12.2705</v>
      </c>
      <c r="J5" s="6">
        <v>2192.56</v>
      </c>
      <c r="K5" s="25">
        <v>114.738</v>
      </c>
      <c r="L5" s="130">
        <v>81.977400000000003</v>
      </c>
      <c r="M5" s="9">
        <v>16.199100000000001</v>
      </c>
      <c r="N5" s="9">
        <v>1.47776</v>
      </c>
      <c r="O5" s="9">
        <v>0.72282000000000002</v>
      </c>
      <c r="P5" s="25">
        <v>168.78399999999999</v>
      </c>
      <c r="Q5" s="25">
        <v>71.480099999999993</v>
      </c>
      <c r="R5" s="25">
        <v>65.944800000000001</v>
      </c>
      <c r="S5" s="25">
        <v>12.980399999999999</v>
      </c>
      <c r="T5" s="30">
        <v>25.5199</v>
      </c>
      <c r="U5" s="30">
        <v>1.0642799999999999</v>
      </c>
      <c r="V5" s="30">
        <v>13.969099999999999</v>
      </c>
      <c r="W5" s="9">
        <v>1.3788499999999999</v>
      </c>
      <c r="X5" s="9">
        <v>1.3765099999999999</v>
      </c>
      <c r="Y5" s="9">
        <v>1.7774300000000001</v>
      </c>
      <c r="Z5" s="9">
        <v>2.0030100000000002</v>
      </c>
      <c r="AA5" s="9">
        <v>2.2446100000000002</v>
      </c>
      <c r="AB5" s="9">
        <v>2.74966</v>
      </c>
      <c r="AC5" s="9">
        <v>4.1308199999999999</v>
      </c>
      <c r="AD5">
        <v>282</v>
      </c>
      <c r="AE5" s="109" cm="1">
        <f t="array" ref="AE5">1-SLOPE(LN(W5:AC5),LN($W$27:$AC$27))</f>
        <v>2.1345860533844316</v>
      </c>
      <c r="AF5" s="9">
        <v>1.69408</v>
      </c>
      <c r="AG5" s="9">
        <v>2.0583499999999999</v>
      </c>
      <c r="AH5" s="9">
        <v>2.2709199999999998</v>
      </c>
      <c r="AI5" s="9">
        <v>2.54162</v>
      </c>
      <c r="AJ5" s="9">
        <v>3.22268</v>
      </c>
      <c r="AK5">
        <v>0</v>
      </c>
      <c r="AL5" s="9" cm="1">
        <f t="array" ref="AL5">1-SLOPE(LN(AF5:AJ5),LN($AF$27:$AJ$27))</f>
        <v>1.7368667367864954</v>
      </c>
      <c r="AM5" s="6">
        <v>19715.7</v>
      </c>
      <c r="AN5" s="6">
        <v>8577.39</v>
      </c>
      <c r="AO5" s="6">
        <v>4256.3599999999997</v>
      </c>
      <c r="AP5" s="6">
        <v>157249</v>
      </c>
      <c r="AQ5" s="6">
        <v>112017</v>
      </c>
      <c r="AR5" s="6">
        <v>48859.199999999997</v>
      </c>
      <c r="AS5">
        <v>205</v>
      </c>
      <c r="AT5" s="2">
        <f t="shared" si="0"/>
        <v>0.88858964527953876</v>
      </c>
      <c r="AU5" s="2">
        <f t="shared" si="1"/>
        <v>0.92887405458910655</v>
      </c>
      <c r="AV5" s="2">
        <f t="shared" si="2"/>
        <v>0.91986604302016206</v>
      </c>
      <c r="AW5" s="9" cm="1">
        <f t="array" ref="AW5">-SLOPE(LN(AM5:AO5),LN($AM$27:$AO$27))</f>
        <v>2.3011518418054937</v>
      </c>
      <c r="AX5" s="9" cm="1">
        <f t="array" ref="AX5">-SLOPE(LN(AP5:AR5),LN($AM$27:$AO$27))</f>
        <v>1.8048840586822426</v>
      </c>
      <c r="AY5" s="25">
        <v>104.872</v>
      </c>
      <c r="AZ5" s="2">
        <v>1.1638500000000001</v>
      </c>
      <c r="BA5" s="18">
        <v>1551700</v>
      </c>
      <c r="BB5" s="18">
        <v>649886</v>
      </c>
      <c r="BC5" s="9">
        <v>3.1336900000000001</v>
      </c>
      <c r="BD5" s="9">
        <v>3.11429</v>
      </c>
      <c r="BE5" s="9">
        <v>2.97818</v>
      </c>
      <c r="BF5" s="9">
        <v>4.9218999999999999</v>
      </c>
      <c r="BG5" s="9">
        <v>5.6116799999999998</v>
      </c>
      <c r="BH5" s="9">
        <v>6.1627200000000002</v>
      </c>
      <c r="BI5" s="9">
        <v>12.968299999999999</v>
      </c>
      <c r="BJ5" s="9">
        <v>21.8521</v>
      </c>
      <c r="BK5" s="9">
        <v>33.346800000000002</v>
      </c>
      <c r="BL5" s="9">
        <v>47.209200000000003</v>
      </c>
      <c r="BM5" s="9">
        <v>61.6233</v>
      </c>
      <c r="BN5" s="9">
        <v>76.408699999999996</v>
      </c>
      <c r="BO5" s="9">
        <v>99.746399999999994</v>
      </c>
      <c r="BP5" s="9">
        <v>131.631</v>
      </c>
      <c r="BQ5" s="9">
        <v>161.85400000000001</v>
      </c>
      <c r="BR5" s="9">
        <v>190.36</v>
      </c>
      <c r="BS5" s="9">
        <v>215.26599999999999</v>
      </c>
      <c r="BT5" s="9">
        <v>237.108</v>
      </c>
      <c r="BU5" s="9">
        <v>250.227</v>
      </c>
      <c r="BV5" s="9">
        <v>255.65299999999999</v>
      </c>
      <c r="BW5" s="9">
        <v>256.40699999999998</v>
      </c>
      <c r="BX5" s="9">
        <v>252.041</v>
      </c>
      <c r="BY5" s="9">
        <v>248.03</v>
      </c>
      <c r="BZ5" s="9">
        <v>244.37299999999999</v>
      </c>
      <c r="CA5" s="9">
        <v>221.46799999999999</v>
      </c>
      <c r="CB5" s="9">
        <v>179.315</v>
      </c>
      <c r="CC5" s="9">
        <v>140.571</v>
      </c>
      <c r="CD5" s="9">
        <v>105.235</v>
      </c>
      <c r="CE5" s="9">
        <v>82.135999999999996</v>
      </c>
      <c r="CF5" s="9">
        <v>71.273200000000003</v>
      </c>
      <c r="CG5" s="9">
        <v>61.892899999999997</v>
      </c>
      <c r="CH5" s="9">
        <v>53.995199999999997</v>
      </c>
    </row>
    <row r="6" spans="1:86" ht="15" customHeight="1">
      <c r="A6" s="20">
        <v>44312</v>
      </c>
      <c r="B6" s="20" t="s">
        <v>488</v>
      </c>
      <c r="C6" s="20" t="s">
        <v>529</v>
      </c>
      <c r="D6" s="20" t="s">
        <v>504</v>
      </c>
      <c r="E6" s="22">
        <v>44312.397222222222</v>
      </c>
      <c r="F6" s="22">
        <v>44312.567361111112</v>
      </c>
      <c r="G6" s="130">
        <v>9.1106599999999993</v>
      </c>
      <c r="H6" s="25">
        <v>5.0576200000000002E-2</v>
      </c>
      <c r="I6" s="25">
        <v>11.530900000000001</v>
      </c>
      <c r="J6" s="6">
        <v>1212.32</v>
      </c>
      <c r="K6" s="25">
        <v>9.6858500000000003</v>
      </c>
      <c r="L6" s="130">
        <v>37.804499999999997</v>
      </c>
      <c r="M6" s="9">
        <v>17.428899999999999</v>
      </c>
      <c r="N6" s="9">
        <v>0.79183700000000001</v>
      </c>
      <c r="O6" s="9">
        <v>0.730186</v>
      </c>
      <c r="P6" s="25">
        <v>95.719499999999996</v>
      </c>
      <c r="Q6" s="25">
        <v>120.33799999999999</v>
      </c>
      <c r="R6" s="25">
        <v>-9.0100300000000004</v>
      </c>
      <c r="S6" s="25">
        <v>12.662699999999999</v>
      </c>
      <c r="T6" s="30">
        <v>3.4131100000000001</v>
      </c>
      <c r="U6" s="30">
        <v>8.9326299999999997E-2</v>
      </c>
      <c r="V6" s="30">
        <v>1.9009199999999999</v>
      </c>
      <c r="W6" s="9">
        <v>0.13877200000000001</v>
      </c>
      <c r="X6" s="9">
        <v>0.14316799999999999</v>
      </c>
      <c r="Y6" s="9">
        <v>0.23327500000000001</v>
      </c>
      <c r="Z6" s="9">
        <v>0.28893600000000003</v>
      </c>
      <c r="AA6" s="9">
        <v>0.34853699999999999</v>
      </c>
      <c r="AB6" s="9">
        <v>0.45097900000000002</v>
      </c>
      <c r="AC6" s="9">
        <v>0.65837400000000001</v>
      </c>
      <c r="AD6">
        <v>803</v>
      </c>
      <c r="AE6" s="109" cm="1">
        <f t="array" ref="AE6">1-SLOPE(LN(W6:AC6),LN($W$27:$AC$27))</f>
        <v>2.7022054714790213</v>
      </c>
      <c r="AF6" s="9">
        <v>0.16484199999999999</v>
      </c>
      <c r="AG6" s="9">
        <v>0.24676500000000001</v>
      </c>
      <c r="AH6" s="9">
        <v>0.30710399999999999</v>
      </c>
      <c r="AI6" s="9">
        <v>0.36039199999999999</v>
      </c>
      <c r="AJ6" s="9">
        <v>0.455432</v>
      </c>
      <c r="AK6">
        <v>31</v>
      </c>
      <c r="AL6" s="9" cm="1">
        <f t="array" ref="AL6">1-SLOPE(LN(AF6:AJ6),LN($AF$27:$AJ$27))</f>
        <v>2.2078293293044347</v>
      </c>
      <c r="AM6" s="6">
        <v>3410.27</v>
      </c>
      <c r="AN6" s="6">
        <v>1402.56</v>
      </c>
      <c r="AO6" s="6">
        <v>552.65499999999997</v>
      </c>
      <c r="AP6" s="6">
        <v>20641.900000000001</v>
      </c>
      <c r="AQ6" s="6">
        <v>12564.5</v>
      </c>
      <c r="AR6" s="6">
        <v>3751.63</v>
      </c>
      <c r="AS6">
        <v>1434</v>
      </c>
      <c r="AT6" s="2">
        <f t="shared" si="0"/>
        <v>0.85821362479975816</v>
      </c>
      <c r="AU6" s="2">
        <f t="shared" si="1"/>
        <v>0.89958087099217732</v>
      </c>
      <c r="AV6" s="2">
        <f t="shared" si="2"/>
        <v>0.87160352997071533</v>
      </c>
      <c r="AW6" s="9" cm="1">
        <f t="array" ref="AW6">-SLOPE(LN(AM6:AO6),LN($AM$27:$AO$27))</f>
        <v>2.7486188052533289</v>
      </c>
      <c r="AX6" s="9" cm="1">
        <f t="array" ref="AX6">-SLOPE(LN(AP6:AR6),LN($AM$27:$AO$27))</f>
        <v>2.6326182786540762</v>
      </c>
      <c r="AY6" s="25">
        <v>140.81399999999999</v>
      </c>
      <c r="AZ6" s="2">
        <v>0.75314999999999999</v>
      </c>
      <c r="BA6" s="18">
        <v>356666</v>
      </c>
      <c r="BB6" s="18">
        <v>75329.7</v>
      </c>
      <c r="BC6" s="9">
        <v>1.0556700000000001</v>
      </c>
      <c r="BD6" s="9">
        <v>1.55955</v>
      </c>
      <c r="BE6" s="9">
        <v>2.1398299999999999</v>
      </c>
      <c r="BF6" s="9">
        <v>4.6334499999999998</v>
      </c>
      <c r="BG6" s="9">
        <v>4.7849599999999999</v>
      </c>
      <c r="BH6" s="9">
        <v>2.1444899999999998</v>
      </c>
      <c r="BI6" s="9">
        <v>1.7195199999999999</v>
      </c>
      <c r="BJ6" s="9">
        <v>2.4123600000000001</v>
      </c>
      <c r="BK6" s="9">
        <v>2.8052999999999999</v>
      </c>
      <c r="BL6" s="9">
        <v>2.6025100000000001</v>
      </c>
      <c r="BM6" s="9">
        <v>2.29867</v>
      </c>
      <c r="BN6" s="9">
        <v>2.2983500000000001</v>
      </c>
      <c r="BO6" s="9">
        <v>3.7085699999999999</v>
      </c>
      <c r="BP6" s="9">
        <v>6.6728300000000003</v>
      </c>
      <c r="BQ6" s="9">
        <v>10.832700000000001</v>
      </c>
      <c r="BR6" s="9">
        <v>16.879200000000001</v>
      </c>
      <c r="BS6" s="9">
        <v>26.274699999999999</v>
      </c>
      <c r="BT6" s="9">
        <v>38.849600000000002</v>
      </c>
      <c r="BU6" s="9">
        <v>52.244900000000001</v>
      </c>
      <c r="BV6" s="9">
        <v>66.4559</v>
      </c>
      <c r="BW6" s="9">
        <v>77.844300000000004</v>
      </c>
      <c r="BX6" s="9">
        <v>86.4101</v>
      </c>
      <c r="BY6" s="9">
        <v>91.075000000000003</v>
      </c>
      <c r="BZ6" s="9">
        <v>91.838999999999999</v>
      </c>
      <c r="CA6" s="9">
        <v>82.195800000000006</v>
      </c>
      <c r="CB6" s="9">
        <v>62.145699999999998</v>
      </c>
      <c r="CC6" s="9">
        <v>44.851100000000002</v>
      </c>
      <c r="CD6" s="9">
        <v>30.312200000000001</v>
      </c>
      <c r="CE6" s="9">
        <v>20.831800000000001</v>
      </c>
      <c r="CF6" s="9">
        <v>16.41</v>
      </c>
      <c r="CG6" s="9">
        <v>13.0946</v>
      </c>
      <c r="CH6" s="9">
        <v>10.8855</v>
      </c>
    </row>
    <row r="7" spans="1:86" ht="15" customHeight="1">
      <c r="A7" s="20">
        <v>44313</v>
      </c>
      <c r="B7" s="20" t="s">
        <v>488</v>
      </c>
      <c r="C7" s="20" t="s">
        <v>529</v>
      </c>
      <c r="D7" s="20" t="s">
        <v>501</v>
      </c>
      <c r="E7" s="22">
        <v>44313.375</v>
      </c>
      <c r="F7" s="22">
        <v>44313.390972222223</v>
      </c>
      <c r="G7" s="25">
        <v>9.2831299999999999</v>
      </c>
      <c r="H7" s="25">
        <v>0.69356300000000004</v>
      </c>
      <c r="I7" s="25">
        <v>11.329800000000001</v>
      </c>
      <c r="J7" s="6">
        <v>2446.66</v>
      </c>
      <c r="K7" s="25">
        <v>113.197</v>
      </c>
      <c r="L7" s="25">
        <v>60.165399999999998</v>
      </c>
      <c r="M7" s="9"/>
      <c r="N7" s="9">
        <v>1.8718999999999999</v>
      </c>
      <c r="O7" s="9">
        <v>1.7026600000000001</v>
      </c>
      <c r="P7" s="25">
        <v>179.46</v>
      </c>
      <c r="Q7" s="25">
        <v>57.0794</v>
      </c>
      <c r="R7" s="25">
        <v>53.784700000000001</v>
      </c>
      <c r="S7" s="25">
        <v>13.661799999999999</v>
      </c>
      <c r="T7" s="30">
        <v>20.3535</v>
      </c>
      <c r="U7" s="30">
        <v>0.79999500000000001</v>
      </c>
      <c r="V7" s="30">
        <v>13.064</v>
      </c>
      <c r="W7" s="9">
        <v>1.7367900000000001</v>
      </c>
      <c r="X7" s="9">
        <v>1.7306699999999999</v>
      </c>
      <c r="Y7" s="9">
        <v>2.2494100000000001</v>
      </c>
      <c r="Z7" s="9">
        <v>2.5409799999999998</v>
      </c>
      <c r="AA7" s="9">
        <v>2.8567300000000002</v>
      </c>
      <c r="AB7" s="9">
        <v>3.51749</v>
      </c>
      <c r="AC7" s="9">
        <v>5.0566000000000004</v>
      </c>
      <c r="AD7">
        <v>487</v>
      </c>
      <c r="AE7" s="109" cm="1">
        <f t="array" ref="AE7">1-SLOPE(LN(W7:AC7),LN($W$27:$AC$27))</f>
        <v>2.122649422886826</v>
      </c>
      <c r="AF7" s="9">
        <v>1.8502700000000001</v>
      </c>
      <c r="AG7" s="9">
        <v>2.1639200000000001</v>
      </c>
      <c r="AH7" s="9">
        <v>2.3962400000000001</v>
      </c>
      <c r="AI7" s="9">
        <v>2.7040899999999999</v>
      </c>
      <c r="AJ7" s="9">
        <v>3.3909799999999999</v>
      </c>
      <c r="AK7">
        <v>0</v>
      </c>
      <c r="AL7" s="9" cm="1">
        <f t="array" ref="AL7">1-SLOPE(LN(AF7:AJ7),LN($AF$27:$AJ$27))</f>
        <v>1.6993554671925974</v>
      </c>
      <c r="AM7" s="6">
        <v>22674.1</v>
      </c>
      <c r="AN7" s="6">
        <v>10289.1</v>
      </c>
      <c r="AO7" s="6">
        <v>5218.6099999999997</v>
      </c>
      <c r="AP7" s="6">
        <v>130987</v>
      </c>
      <c r="AQ7" s="6">
        <v>95434.4</v>
      </c>
      <c r="AR7" s="6">
        <v>41729.599999999999</v>
      </c>
      <c r="AS7">
        <v>136</v>
      </c>
      <c r="AT7" s="2">
        <f t="shared" si="0"/>
        <v>0.85244085848663065</v>
      </c>
      <c r="AU7" s="2">
        <f t="shared" si="1"/>
        <v>0.90267915837065549</v>
      </c>
      <c r="AV7" s="2">
        <f t="shared" si="2"/>
        <v>0.88884325941287212</v>
      </c>
      <c r="AW7" s="9" cm="1">
        <f t="array" ref="AW7">-SLOPE(LN(AM7:AO7),LN($AM$27:$AO$27))</f>
        <v>2.2063290118171839</v>
      </c>
      <c r="AX7" s="9" cm="1">
        <f t="array" ref="AX7">-SLOPE(LN(AP7:AR7),LN($AM$27:$AO$27))</f>
        <v>1.7688797420198656</v>
      </c>
      <c r="AY7" s="25">
        <v>96.570400000000006</v>
      </c>
      <c r="AZ7" s="2">
        <v>1.0059499999999999</v>
      </c>
      <c r="BA7" s="18">
        <v>2186840</v>
      </c>
      <c r="BB7" s="18">
        <v>987790</v>
      </c>
      <c r="BC7" s="9">
        <v>4.5754000000000001</v>
      </c>
      <c r="BD7" s="9">
        <v>3.7481200000000001</v>
      </c>
      <c r="BE7" s="9">
        <v>3.5172599999999998</v>
      </c>
      <c r="BF7" s="9">
        <v>5.1375099999999998</v>
      </c>
      <c r="BG7" s="9">
        <v>6.4925899999999999</v>
      </c>
      <c r="BH7" s="9">
        <v>10.6213</v>
      </c>
      <c r="BI7" s="9">
        <v>20.538</v>
      </c>
      <c r="BJ7" s="9">
        <v>32.814399999999999</v>
      </c>
      <c r="BK7" s="9">
        <v>47.625300000000003</v>
      </c>
      <c r="BL7" s="9">
        <v>64.9285</v>
      </c>
      <c r="BM7" s="9">
        <v>79.231499999999997</v>
      </c>
      <c r="BN7" s="9">
        <v>90.418400000000005</v>
      </c>
      <c r="BO7" s="9">
        <v>120.899</v>
      </c>
      <c r="BP7" s="9">
        <v>170.60300000000001</v>
      </c>
      <c r="BQ7" s="9">
        <v>221.91900000000001</v>
      </c>
      <c r="BR7" s="9">
        <v>274.88200000000001</v>
      </c>
      <c r="BS7" s="9">
        <v>326.38400000000001</v>
      </c>
      <c r="BT7" s="9">
        <v>376.49700000000001</v>
      </c>
      <c r="BU7" s="9">
        <v>400.27600000000001</v>
      </c>
      <c r="BV7" s="9">
        <v>398.16399999999999</v>
      </c>
      <c r="BW7" s="9">
        <v>382.71199999999999</v>
      </c>
      <c r="BX7" s="9">
        <v>353.29700000000003</v>
      </c>
      <c r="BY7" s="9">
        <v>329.101</v>
      </c>
      <c r="BZ7" s="9">
        <v>310.12299999999999</v>
      </c>
      <c r="CA7" s="9">
        <v>268.137</v>
      </c>
      <c r="CB7" s="9">
        <v>203.142</v>
      </c>
      <c r="CC7" s="9">
        <v>148.92699999999999</v>
      </c>
      <c r="CD7" s="9">
        <v>105.49299999999999</v>
      </c>
      <c r="CE7" s="9">
        <v>77.614599999999996</v>
      </c>
      <c r="CF7" s="9">
        <v>65.292299999999997</v>
      </c>
      <c r="CG7" s="9">
        <v>55.2361</v>
      </c>
      <c r="CH7" s="9">
        <v>47.445999999999998</v>
      </c>
    </row>
    <row r="8" spans="1:86" ht="15" customHeight="1">
      <c r="A8" s="20">
        <v>44313</v>
      </c>
      <c r="B8" s="20" t="s">
        <v>488</v>
      </c>
      <c r="C8" s="20" t="s">
        <v>529</v>
      </c>
      <c r="D8" s="20" t="s">
        <v>505</v>
      </c>
      <c r="E8" s="22">
        <v>44313.392361111109</v>
      </c>
      <c r="F8" s="22">
        <v>44313.677083333336</v>
      </c>
      <c r="G8" s="25">
        <v>10.412000000000001</v>
      </c>
      <c r="H8" s="25">
        <v>0.14951300000000001</v>
      </c>
      <c r="I8" s="25">
        <v>10.3269</v>
      </c>
      <c r="J8" s="6">
        <v>1026.22</v>
      </c>
      <c r="K8" s="25">
        <v>16.2255</v>
      </c>
      <c r="L8" s="9">
        <v>41.438800000000001</v>
      </c>
      <c r="M8" s="9"/>
      <c r="N8" s="9">
        <v>0.61162899999999998</v>
      </c>
      <c r="O8" s="9">
        <v>0.58778699999999995</v>
      </c>
      <c r="P8" s="25">
        <v>77.844499999999996</v>
      </c>
      <c r="Q8" s="25">
        <v>185.666</v>
      </c>
      <c r="R8" s="25">
        <v>-187.63499999999999</v>
      </c>
      <c r="S8" s="25">
        <v>13.1874</v>
      </c>
      <c r="T8" s="30">
        <v>3.7095400000000001</v>
      </c>
      <c r="U8" s="30">
        <v>4.3171800000000003E-2</v>
      </c>
      <c r="V8" s="30">
        <v>2.1669100000000001</v>
      </c>
      <c r="W8" s="9">
        <v>9.3535900000000005E-2</v>
      </c>
      <c r="X8" s="9">
        <v>9.5635899999999996E-2</v>
      </c>
      <c r="Y8" s="9">
        <v>0.14952199999999999</v>
      </c>
      <c r="Z8" s="9">
        <v>0.184919</v>
      </c>
      <c r="AA8" s="9">
        <v>0.225631</v>
      </c>
      <c r="AB8" s="9">
        <v>0.29671700000000001</v>
      </c>
      <c r="AC8" s="9">
        <v>0.48679499999999998</v>
      </c>
      <c r="AD8">
        <v>835</v>
      </c>
      <c r="AE8" s="109" cm="1">
        <f t="array" ref="AE8">1-SLOPE(LN(W8:AC8),LN($W$27:$AC$27))</f>
        <v>2.7607318757726489</v>
      </c>
      <c r="AF8" s="9">
        <v>9.9913600000000005E-2</v>
      </c>
      <c r="AG8" s="9">
        <v>0.15390599999999999</v>
      </c>
      <c r="AH8" s="9">
        <v>0.19842899999999999</v>
      </c>
      <c r="AI8" s="9">
        <v>0.24156900000000001</v>
      </c>
      <c r="AJ8" s="9">
        <v>0.34071000000000001</v>
      </c>
      <c r="AK8">
        <v>31</v>
      </c>
      <c r="AL8" s="9" cm="1">
        <f t="array" ref="AL8">1-SLOPE(LN(AF8:AJ8),LN($AF$27:$AJ$27))</f>
        <v>2.4436431956322107</v>
      </c>
      <c r="AM8" s="6">
        <v>2043.89</v>
      </c>
      <c r="AN8" s="6">
        <v>743.37800000000004</v>
      </c>
      <c r="AO8" s="6">
        <v>272.19600000000003</v>
      </c>
      <c r="AP8" s="6">
        <v>21672.1</v>
      </c>
      <c r="AQ8" s="6">
        <v>14646.2</v>
      </c>
      <c r="AR8" s="6">
        <v>5882.97</v>
      </c>
      <c r="AS8">
        <v>2458</v>
      </c>
      <c r="AT8" s="2">
        <f t="shared" si="0"/>
        <v>0.9138180611477742</v>
      </c>
      <c r="AU8" s="2">
        <f t="shared" si="1"/>
        <v>0.95169601141759697</v>
      </c>
      <c r="AV8" s="2">
        <f t="shared" si="2"/>
        <v>0.95577763459182097</v>
      </c>
      <c r="AW8" s="9" cm="1">
        <f t="array" ref="AW8">-SLOPE(LN(AM8:AO8),LN($AM$27:$AO$27))</f>
        <v>3.0404585279891476</v>
      </c>
      <c r="AX8" s="9" cm="1">
        <f t="array" ref="AX8">-SLOPE(LN(AP8:AR8),LN($AM$27:$AO$27))</f>
        <v>2.0111625489103231</v>
      </c>
      <c r="AY8" s="25">
        <v>154.429</v>
      </c>
      <c r="AZ8" s="2">
        <v>0.925597</v>
      </c>
      <c r="BA8" s="18">
        <v>177543</v>
      </c>
      <c r="BB8" s="18">
        <v>48954.400000000001</v>
      </c>
      <c r="BC8" s="9">
        <v>2.63429</v>
      </c>
      <c r="BD8" s="9">
        <v>2.5186500000000001</v>
      </c>
      <c r="BE8" s="9">
        <v>3.3711000000000002</v>
      </c>
      <c r="BF8" s="9">
        <v>6.4452100000000003</v>
      </c>
      <c r="BG8" s="9">
        <v>6.47295</v>
      </c>
      <c r="BH8" s="9">
        <v>3.4446599999999998</v>
      </c>
      <c r="BI8" s="9">
        <v>2.7455799999999999</v>
      </c>
      <c r="BJ8" s="9">
        <v>2.8444099999999999</v>
      </c>
      <c r="BK8" s="9">
        <v>3.09883</v>
      </c>
      <c r="BL8" s="9">
        <v>3.3953799999999998</v>
      </c>
      <c r="BM8" s="9">
        <v>3.5318000000000001</v>
      </c>
      <c r="BN8" s="9">
        <v>3.19421</v>
      </c>
      <c r="BO8" s="9">
        <v>3.7296299999999998</v>
      </c>
      <c r="BP8" s="9">
        <v>5.1850899999999998</v>
      </c>
      <c r="BQ8" s="9">
        <v>7.0703800000000001</v>
      </c>
      <c r="BR8" s="9">
        <v>9.2194099999999999</v>
      </c>
      <c r="BS8" s="9">
        <v>12.0015</v>
      </c>
      <c r="BT8" s="9">
        <v>15.527699999999999</v>
      </c>
      <c r="BU8" s="9">
        <v>19.580100000000002</v>
      </c>
      <c r="BV8" s="9">
        <v>24.074000000000002</v>
      </c>
      <c r="BW8" s="9">
        <v>27.8977</v>
      </c>
      <c r="BX8" s="9">
        <v>31.051300000000001</v>
      </c>
      <c r="BY8" s="9">
        <v>33.844900000000003</v>
      </c>
      <c r="BZ8" s="9">
        <v>36.278599999999997</v>
      </c>
      <c r="CA8" s="9">
        <v>34.957000000000001</v>
      </c>
      <c r="CB8" s="9">
        <v>29.88</v>
      </c>
      <c r="CC8" s="9">
        <v>24.273800000000001</v>
      </c>
      <c r="CD8" s="9">
        <v>18.138500000000001</v>
      </c>
      <c r="CE8" s="9">
        <v>13.9787</v>
      </c>
      <c r="CF8" s="9">
        <v>11.7943</v>
      </c>
      <c r="CG8" s="9">
        <v>9.9904499999999992</v>
      </c>
      <c r="CH8" s="9">
        <v>8.5670400000000004</v>
      </c>
    </row>
    <row r="9" spans="1:86" ht="15" customHeight="1">
      <c r="A9" s="20">
        <v>44314</v>
      </c>
      <c r="B9" s="20" t="s">
        <v>488</v>
      </c>
      <c r="C9" s="20" t="s">
        <v>529</v>
      </c>
      <c r="D9" s="20" t="s">
        <v>501</v>
      </c>
      <c r="E9" s="22">
        <v>44314.347222222219</v>
      </c>
      <c r="F9" s="22">
        <v>44314.372916666667</v>
      </c>
      <c r="G9" s="2">
        <v>9.8279899999999998</v>
      </c>
      <c r="H9" s="25">
        <v>0.86146299999999998</v>
      </c>
      <c r="I9" s="25">
        <v>10.2134</v>
      </c>
      <c r="J9" s="6">
        <v>2110.34</v>
      </c>
      <c r="K9" s="25">
        <v>129.34299999999999</v>
      </c>
      <c r="L9" s="25">
        <v>102.325</v>
      </c>
      <c r="M9" s="9">
        <v>17.104299999999999</v>
      </c>
      <c r="N9" s="9">
        <v>1.5148200000000001</v>
      </c>
      <c r="O9" s="9">
        <v>1.3513999999999999</v>
      </c>
      <c r="P9" s="25">
        <v>153.441</v>
      </c>
      <c r="Q9" s="25">
        <v>74.245400000000004</v>
      </c>
      <c r="R9" s="25">
        <v>67.0304</v>
      </c>
      <c r="S9" s="25">
        <v>13.790100000000001</v>
      </c>
      <c r="T9" s="30">
        <v>30.223800000000001</v>
      </c>
      <c r="U9" s="30">
        <v>0.82019799999999998</v>
      </c>
      <c r="V9" s="30">
        <v>18.419</v>
      </c>
      <c r="W9" s="44"/>
      <c r="X9" s="44"/>
      <c r="Y9" s="44"/>
      <c r="Z9" s="44"/>
      <c r="AA9" s="44"/>
      <c r="AB9" s="44"/>
      <c r="AC9" s="44"/>
      <c r="AD9" s="44"/>
      <c r="AE9" s="44"/>
      <c r="AF9" s="9">
        <v>2.16906</v>
      </c>
      <c r="AG9" s="9">
        <v>2.7131699999999999</v>
      </c>
      <c r="AH9" s="9">
        <v>3.0219999999999998</v>
      </c>
      <c r="AI9" s="9">
        <v>3.4210799999999999</v>
      </c>
      <c r="AJ9" s="9">
        <v>4.3776000000000002</v>
      </c>
      <c r="AK9">
        <v>0</v>
      </c>
      <c r="AL9" s="9" cm="1">
        <f t="array" ref="AL9">1-SLOPE(LN(AF9:AJ9),LN($AF$27:$AJ$27))</f>
        <v>1.8074645942624101</v>
      </c>
      <c r="AM9" s="6">
        <v>24644.5</v>
      </c>
      <c r="AN9" s="6">
        <v>11279.4</v>
      </c>
      <c r="AO9" s="6">
        <v>5783.37</v>
      </c>
      <c r="AP9" s="6">
        <v>156094</v>
      </c>
      <c r="AQ9" s="6">
        <v>119703</v>
      </c>
      <c r="AR9" s="6">
        <v>60063.199999999997</v>
      </c>
      <c r="AS9">
        <v>136</v>
      </c>
      <c r="AT9" s="2">
        <f t="shared" si="0"/>
        <v>0.86364554314659026</v>
      </c>
      <c r="AU9" s="2">
        <f t="shared" si="1"/>
        <v>0.91388614042802696</v>
      </c>
      <c r="AV9" s="2">
        <f t="shared" si="2"/>
        <v>0.91216900136180223</v>
      </c>
      <c r="AW9" s="9" cm="1">
        <f t="array" ref="AW9">-SLOPE(LN(AM9:AO9),LN($AM$27:$AO$27))</f>
        <v>2.1768328696122889</v>
      </c>
      <c r="AX9" s="9" cm="1">
        <f t="array" ref="AX9">-SLOPE(LN(AP9:AR9),LN($AM$27:$AO$27))</f>
        <v>1.4767031739509311</v>
      </c>
      <c r="AY9" s="25">
        <v>118.27500000000001</v>
      </c>
      <c r="AZ9" s="2">
        <v>1.0134300000000001</v>
      </c>
      <c r="BA9" s="18">
        <v>1583450</v>
      </c>
      <c r="BB9" s="18">
        <v>552811</v>
      </c>
      <c r="BC9" s="9">
        <v>4.0666900000000004</v>
      </c>
      <c r="BD9" s="9">
        <v>4.7748499999999998</v>
      </c>
      <c r="BE9" s="9">
        <v>5.3864000000000001</v>
      </c>
      <c r="BF9" s="9">
        <v>8.0345600000000008</v>
      </c>
      <c r="BG9" s="9">
        <v>8.1270900000000008</v>
      </c>
      <c r="BH9" s="9">
        <v>5.8318700000000003</v>
      </c>
      <c r="BI9" s="9">
        <v>9.5043299999999995</v>
      </c>
      <c r="BJ9" s="9">
        <v>17.216799999999999</v>
      </c>
      <c r="BK9" s="9">
        <v>22.9267</v>
      </c>
      <c r="BL9" s="9">
        <v>28.098099999999999</v>
      </c>
      <c r="BM9" s="9">
        <v>33.914299999999997</v>
      </c>
      <c r="BN9" s="9">
        <v>38.884799999999998</v>
      </c>
      <c r="BO9" s="9">
        <v>56.055700000000002</v>
      </c>
      <c r="BP9" s="9">
        <v>85.328800000000001</v>
      </c>
      <c r="BQ9" s="9">
        <v>116.325</v>
      </c>
      <c r="BR9" s="9">
        <v>148.84</v>
      </c>
      <c r="BS9" s="9">
        <v>184.51599999999999</v>
      </c>
      <c r="BT9" s="9">
        <v>223.529</v>
      </c>
      <c r="BU9" s="9">
        <v>251.93700000000001</v>
      </c>
      <c r="BV9" s="9">
        <v>270.36099999999999</v>
      </c>
      <c r="BW9" s="9">
        <v>277.28399999999999</v>
      </c>
      <c r="BX9" s="9">
        <v>273.11599999999999</v>
      </c>
      <c r="BY9" s="9">
        <v>270.62599999999998</v>
      </c>
      <c r="BZ9" s="9">
        <v>269.73</v>
      </c>
      <c r="CA9" s="9">
        <v>244.37</v>
      </c>
      <c r="CB9" s="9">
        <v>194.54599999999999</v>
      </c>
      <c r="CC9" s="9">
        <v>149.95699999999999</v>
      </c>
      <c r="CD9" s="9">
        <v>110.604</v>
      </c>
      <c r="CE9" s="9">
        <v>85.010400000000004</v>
      </c>
      <c r="CF9" s="9">
        <v>73.177400000000006</v>
      </c>
      <c r="CG9" s="9">
        <v>63.086500000000001</v>
      </c>
      <c r="CH9" s="9">
        <v>54.737400000000001</v>
      </c>
    </row>
    <row r="10" spans="1:86" ht="15" customHeight="1">
      <c r="A10" s="20">
        <v>44314</v>
      </c>
      <c r="B10" s="20" t="s">
        <v>488</v>
      </c>
      <c r="C10" s="20" t="s">
        <v>529</v>
      </c>
      <c r="D10" s="20" t="s">
        <v>505</v>
      </c>
      <c r="E10" s="22">
        <v>44314.374305555553</v>
      </c>
      <c r="F10" s="22">
        <v>44314.656944444447</v>
      </c>
      <c r="G10" s="2">
        <v>13.313800000000001</v>
      </c>
      <c r="H10" s="25">
        <v>0.22678000000000001</v>
      </c>
      <c r="I10" s="25">
        <v>6.8658799999999998</v>
      </c>
      <c r="J10" s="6">
        <v>1071.55</v>
      </c>
      <c r="K10" s="25">
        <v>16.0595</v>
      </c>
      <c r="L10" s="25">
        <v>34.7819</v>
      </c>
      <c r="M10" s="9">
        <v>18.836400000000001</v>
      </c>
      <c r="N10" s="9">
        <v>0.49742900000000001</v>
      </c>
      <c r="O10" s="9">
        <v>0.47233399999999998</v>
      </c>
      <c r="P10" s="25">
        <v>81.394000000000005</v>
      </c>
      <c r="Q10" s="25">
        <v>234.66</v>
      </c>
      <c r="R10" s="25">
        <v>-50.060899999999997</v>
      </c>
      <c r="S10" s="25">
        <v>13.1387</v>
      </c>
      <c r="T10" s="30">
        <v>1.9013800000000001</v>
      </c>
      <c r="U10" s="30">
        <v>4.7108799999999999E-2</v>
      </c>
      <c r="V10" s="30">
        <v>1.11931</v>
      </c>
      <c r="W10" s="44"/>
      <c r="X10" s="44"/>
      <c r="Y10" s="44"/>
      <c r="Z10" s="44"/>
      <c r="AA10" s="44"/>
      <c r="AB10" s="44"/>
      <c r="AC10" s="44"/>
      <c r="AD10" s="44"/>
      <c r="AE10" s="44"/>
      <c r="AF10" s="9">
        <v>0.102337</v>
      </c>
      <c r="AG10" s="9">
        <v>0.15182899999999999</v>
      </c>
      <c r="AH10" s="9">
        <v>0.18224499999999999</v>
      </c>
      <c r="AI10" s="9">
        <v>0.21007700000000001</v>
      </c>
      <c r="AJ10" s="9">
        <v>0.263131</v>
      </c>
      <c r="AK10">
        <v>31</v>
      </c>
      <c r="AL10" s="9" cm="1">
        <f t="array" ref="AL10">1-SLOPE(LN(AF10:AJ10),LN($AF$27:$AJ$27))</f>
        <v>2.1133396807059808</v>
      </c>
      <c r="AM10" s="6">
        <v>2002.03</v>
      </c>
      <c r="AN10" s="6">
        <v>851.76599999999996</v>
      </c>
      <c r="AO10" s="6">
        <v>350.84800000000001</v>
      </c>
      <c r="AP10" s="6">
        <v>12378.3</v>
      </c>
      <c r="AQ10" s="6">
        <v>8460.24</v>
      </c>
      <c r="AR10" s="6">
        <v>3209.99</v>
      </c>
      <c r="AS10">
        <v>1300</v>
      </c>
      <c r="AT10" s="2">
        <f t="shared" si="0"/>
        <v>0.86077996819266311</v>
      </c>
      <c r="AU10" s="2">
        <f t="shared" si="1"/>
        <v>0.90853034244178965</v>
      </c>
      <c r="AV10" s="2">
        <f t="shared" si="2"/>
        <v>0.90147038421854631</v>
      </c>
      <c r="AW10" s="9" cm="1">
        <f t="array" ref="AW10">-SLOPE(LN(AM10:AO10),LN($AM$27:$AO$27))</f>
        <v>2.6296978860691387</v>
      </c>
      <c r="AX10" s="9" cm="1">
        <f t="array" ref="AX10">-SLOPE(LN(AP10:AR10),LN($AM$27:$AO$27))</f>
        <v>2.0859264945775555</v>
      </c>
      <c r="AY10" s="25">
        <v>138.202</v>
      </c>
      <c r="AZ10" s="2">
        <v>0.924902</v>
      </c>
      <c r="BA10" s="18">
        <v>147322</v>
      </c>
      <c r="BB10" s="18">
        <v>47245.3</v>
      </c>
      <c r="BC10" s="9">
        <v>1.2310700000000001</v>
      </c>
      <c r="BD10" s="9">
        <v>3.0060199999999999</v>
      </c>
      <c r="BE10" s="9">
        <v>4.1798500000000001</v>
      </c>
      <c r="BF10" s="9">
        <v>6.6519500000000003</v>
      </c>
      <c r="BG10" s="9">
        <v>6.1749700000000001</v>
      </c>
      <c r="BH10" s="9">
        <v>2.66411</v>
      </c>
      <c r="BI10" s="9">
        <v>2.58006</v>
      </c>
      <c r="BJ10" s="9">
        <v>4.6289800000000003</v>
      </c>
      <c r="BK10" s="9">
        <v>3.5453100000000002</v>
      </c>
      <c r="BL10" s="9">
        <v>0.66379900000000003</v>
      </c>
      <c r="BM10" s="9">
        <v>0.52435200000000004</v>
      </c>
      <c r="BN10" s="9">
        <v>1.5023299999999999</v>
      </c>
      <c r="BO10" s="9">
        <v>3.3011200000000001</v>
      </c>
      <c r="BP10" s="9">
        <v>5.8704799999999997</v>
      </c>
      <c r="BQ10" s="9">
        <v>8.3758900000000001</v>
      </c>
      <c r="BR10" s="9">
        <v>10.2746</v>
      </c>
      <c r="BS10" s="9">
        <v>12.7118</v>
      </c>
      <c r="BT10" s="9">
        <v>15.7277</v>
      </c>
      <c r="BU10" s="9">
        <v>18.761399999999998</v>
      </c>
      <c r="BV10" s="9">
        <v>22.057200000000002</v>
      </c>
      <c r="BW10" s="9">
        <v>24.822199999999999</v>
      </c>
      <c r="BX10" s="9">
        <v>26.988800000000001</v>
      </c>
      <c r="BY10" s="9">
        <v>28.4846</v>
      </c>
      <c r="BZ10" s="9">
        <v>29.309899999999999</v>
      </c>
      <c r="CA10" s="9">
        <v>27.165400000000002</v>
      </c>
      <c r="CB10" s="9">
        <v>22.0502</v>
      </c>
      <c r="CC10" s="9">
        <v>17.0947</v>
      </c>
      <c r="CD10" s="9">
        <v>12.2981</v>
      </c>
      <c r="CE10" s="9">
        <v>9.0734999999999992</v>
      </c>
      <c r="CF10" s="9">
        <v>7.4210399999999996</v>
      </c>
      <c r="CG10" s="9">
        <v>6.1159100000000004</v>
      </c>
      <c r="CH10" s="9">
        <v>5.15665</v>
      </c>
    </row>
    <row r="11" spans="1:86" ht="15" customHeight="1">
      <c r="A11" s="20">
        <v>44315</v>
      </c>
      <c r="B11" s="20" t="s">
        <v>488</v>
      </c>
      <c r="C11" s="20" t="s">
        <v>529</v>
      </c>
      <c r="D11" s="20" t="s">
        <v>501</v>
      </c>
      <c r="E11" s="22">
        <v>44315.34375</v>
      </c>
      <c r="F11" s="22">
        <v>44315.359027777777</v>
      </c>
      <c r="G11" s="2">
        <v>10.204499999999999</v>
      </c>
      <c r="H11" s="25">
        <v>0.91110500000000005</v>
      </c>
      <c r="I11" s="25">
        <v>9.7038700000000002</v>
      </c>
      <c r="J11" s="6">
        <v>2960.46</v>
      </c>
      <c r="K11" s="25">
        <v>172.25399999999999</v>
      </c>
      <c r="L11" s="25">
        <v>87.4602</v>
      </c>
      <c r="M11" s="9">
        <v>19.003599999999999</v>
      </c>
      <c r="N11" s="9">
        <v>2.38347</v>
      </c>
      <c r="O11" s="9">
        <v>2.2290199999999998</v>
      </c>
      <c r="P11" s="25">
        <v>211.34399999999999</v>
      </c>
      <c r="Q11" s="25">
        <v>59.700200000000002</v>
      </c>
      <c r="R11" s="25">
        <v>59.646299999999997</v>
      </c>
      <c r="S11" s="25">
        <v>14.0405</v>
      </c>
      <c r="T11" s="30">
        <v>20.417200000000001</v>
      </c>
      <c r="U11" s="30">
        <v>0.907026</v>
      </c>
      <c r="V11" s="30">
        <v>11.834</v>
      </c>
      <c r="W11" s="9">
        <v>1.49176</v>
      </c>
      <c r="X11" s="9">
        <v>1.4839500000000001</v>
      </c>
      <c r="Y11" s="9">
        <v>1.85222</v>
      </c>
      <c r="Z11" s="9">
        <v>2.1380499999999998</v>
      </c>
      <c r="AA11" s="9">
        <v>2.4129999999999998</v>
      </c>
      <c r="AB11" s="9">
        <v>3.0419399999999999</v>
      </c>
      <c r="AC11" s="9">
        <v>4.5889199999999999</v>
      </c>
      <c r="AD11">
        <v>478</v>
      </c>
      <c r="AE11" s="109" cm="1">
        <f t="array" ref="AE11">1-SLOPE(LN(W11:AC11),LN($W$27:$AC$27))</f>
        <v>2.1668328573172033</v>
      </c>
      <c r="AF11" s="9">
        <v>2.41656</v>
      </c>
      <c r="AG11" s="9">
        <v>2.98475</v>
      </c>
      <c r="AH11" s="9">
        <v>3.33833</v>
      </c>
      <c r="AI11" s="9">
        <v>3.7767900000000001</v>
      </c>
      <c r="AJ11" s="9">
        <v>4.7247300000000001</v>
      </c>
      <c r="AK11">
        <v>0</v>
      </c>
      <c r="AL11" s="9" cm="1">
        <f t="array" ref="AL11">1-SLOPE(LN(AF11:AJ11),LN($AF$27:$AJ$27))</f>
        <v>1.7769202929356895</v>
      </c>
      <c r="AM11" s="6">
        <v>25057.1</v>
      </c>
      <c r="AN11" s="6">
        <v>11625.7</v>
      </c>
      <c r="AO11" s="6">
        <v>5944.72</v>
      </c>
      <c r="AP11" s="6">
        <v>136634</v>
      </c>
      <c r="AQ11" s="6">
        <v>89891.1</v>
      </c>
      <c r="AR11" s="6">
        <v>28968</v>
      </c>
      <c r="AS11">
        <v>68</v>
      </c>
      <c r="AT11" s="2">
        <f t="shared" si="0"/>
        <v>0.84503104994647193</v>
      </c>
      <c r="AU11" s="2">
        <f t="shared" si="1"/>
        <v>0.88548003877190773</v>
      </c>
      <c r="AV11" s="2">
        <f t="shared" si="2"/>
        <v>0.8297262430426503</v>
      </c>
      <c r="AW11" s="9" cm="1">
        <f t="array" ref="AW11">-SLOPE(LN(AM11:AO11),LN($AM$27:$AO$27))</f>
        <v>2.1617638621971733</v>
      </c>
      <c r="AX11" s="9" cm="1">
        <f t="array" ref="AX11">-SLOPE(LN(AP11:AR11),LN($AM$27:$AO$27))</f>
        <v>2.4004239955192181</v>
      </c>
      <c r="AY11" s="25">
        <v>99.522199999999998</v>
      </c>
      <c r="AZ11" s="2">
        <v>0.97137300000000004</v>
      </c>
      <c r="BA11" s="18">
        <v>2695310</v>
      </c>
      <c r="BB11" s="18">
        <v>1140640</v>
      </c>
      <c r="BC11" s="9">
        <v>2.35778</v>
      </c>
      <c r="BD11" s="9">
        <v>3.0106799999999998</v>
      </c>
      <c r="BE11" s="9">
        <v>4.9440600000000003</v>
      </c>
      <c r="BF11" s="9">
        <v>9.0348699999999997</v>
      </c>
      <c r="BG11" s="9">
        <v>8.8065300000000004</v>
      </c>
      <c r="BH11" s="9">
        <v>4.03789</v>
      </c>
      <c r="BI11" s="9">
        <v>7.1115500000000003</v>
      </c>
      <c r="BJ11" s="9">
        <v>16.026499999999999</v>
      </c>
      <c r="BK11" s="9">
        <v>27.740600000000001</v>
      </c>
      <c r="BL11" s="9">
        <v>43.354399999999998</v>
      </c>
      <c r="BM11" s="9">
        <v>60.011899999999997</v>
      </c>
      <c r="BN11" s="9">
        <v>77.879099999999994</v>
      </c>
      <c r="BO11" s="9">
        <v>115.375</v>
      </c>
      <c r="BP11" s="9">
        <v>190.06899999999999</v>
      </c>
      <c r="BQ11" s="9">
        <v>264.58</v>
      </c>
      <c r="BR11" s="9">
        <v>337.54700000000003</v>
      </c>
      <c r="BS11" s="9">
        <v>404.928</v>
      </c>
      <c r="BT11" s="9">
        <v>466.76100000000002</v>
      </c>
      <c r="BU11" s="9">
        <v>497.06799999999998</v>
      </c>
      <c r="BV11" s="9">
        <v>495.93099999999998</v>
      </c>
      <c r="BW11" s="9">
        <v>478.262</v>
      </c>
      <c r="BX11" s="9">
        <v>444.21899999999999</v>
      </c>
      <c r="BY11" s="9">
        <v>416.08800000000002</v>
      </c>
      <c r="BZ11" s="9">
        <v>393.87099999999998</v>
      </c>
      <c r="CA11" s="9">
        <v>342.39299999999997</v>
      </c>
      <c r="CB11" s="9">
        <v>261.65600000000001</v>
      </c>
      <c r="CC11" s="9">
        <v>192.584</v>
      </c>
      <c r="CD11" s="9">
        <v>135.178</v>
      </c>
      <c r="CE11" s="9">
        <v>97.872</v>
      </c>
      <c r="CF11" s="9">
        <v>80.666600000000003</v>
      </c>
      <c r="CG11" s="9">
        <v>67.069299999999998</v>
      </c>
      <c r="CH11" s="9">
        <v>57.079900000000002</v>
      </c>
    </row>
    <row r="12" spans="1:86" ht="15" customHeight="1">
      <c r="A12" s="20">
        <v>44315</v>
      </c>
      <c r="B12" s="20" t="s">
        <v>488</v>
      </c>
      <c r="C12" s="20" t="s">
        <v>529</v>
      </c>
      <c r="D12" s="20" t="s">
        <v>505</v>
      </c>
      <c r="E12" s="22">
        <v>44315.361111111109</v>
      </c>
      <c r="F12" s="22">
        <v>44315.736111111109</v>
      </c>
      <c r="G12" s="2">
        <v>7.8219000000000003</v>
      </c>
      <c r="H12" s="25">
        <v>0.342885</v>
      </c>
      <c r="I12" s="25">
        <v>12.594900000000001</v>
      </c>
      <c r="J12" s="6">
        <v>869.22299999999996</v>
      </c>
      <c r="K12" s="25">
        <v>23.900300000000001</v>
      </c>
      <c r="L12" s="25">
        <v>41.192100000000003</v>
      </c>
      <c r="M12" s="9">
        <v>14.3291</v>
      </c>
      <c r="N12" s="9">
        <v>0.32944600000000002</v>
      </c>
      <c r="O12" s="9">
        <v>0.30631199999999997</v>
      </c>
      <c r="P12" s="25">
        <v>62.691800000000001</v>
      </c>
      <c r="Q12" s="25">
        <v>191.047</v>
      </c>
      <c r="R12" s="25">
        <v>277.36</v>
      </c>
      <c r="S12" s="25">
        <v>13.8811</v>
      </c>
      <c r="T12" s="30">
        <v>5.8112399999999997</v>
      </c>
      <c r="U12" s="30">
        <v>2.8027699999999999E-2</v>
      </c>
      <c r="V12" s="30">
        <v>3.1377700000000002</v>
      </c>
      <c r="W12" s="9">
        <v>6.2732300000000005E-2</v>
      </c>
      <c r="X12" s="9">
        <v>6.3702999999999996E-2</v>
      </c>
      <c r="Y12" s="9">
        <v>0.10102899999999999</v>
      </c>
      <c r="Z12" s="9">
        <v>0.12828300000000001</v>
      </c>
      <c r="AA12" s="9">
        <v>0.16647000000000001</v>
      </c>
      <c r="AB12" s="9">
        <v>0.241205</v>
      </c>
      <c r="AC12" s="9">
        <v>0.52036000000000004</v>
      </c>
      <c r="AD12">
        <v>1207</v>
      </c>
      <c r="AE12" s="109" cm="1">
        <f t="array" ref="AE12">1-SLOPE(LN(W12:AC12),LN($W$27:$AC$27))</f>
        <v>3.1928239192867092</v>
      </c>
      <c r="AF12" s="9">
        <v>7.1441000000000004E-2</v>
      </c>
      <c r="AG12" s="9">
        <v>0.11341900000000001</v>
      </c>
      <c r="AH12" s="9">
        <v>0.15755</v>
      </c>
      <c r="AI12" s="9">
        <v>0.205596</v>
      </c>
      <c r="AJ12" s="9">
        <v>0.350767</v>
      </c>
      <c r="AK12">
        <v>31</v>
      </c>
      <c r="AL12" s="9" cm="1">
        <f t="array" ref="AL12">1-SLOPE(LN(AF12:AJ12),LN($AF$27:$AJ$27))</f>
        <v>2.8572417860265338</v>
      </c>
      <c r="AM12" s="6">
        <v>2015.87</v>
      </c>
      <c r="AN12" s="6">
        <v>531.01499999999999</v>
      </c>
      <c r="AO12" s="6">
        <v>161.773</v>
      </c>
      <c r="AP12" s="6">
        <v>29145.3</v>
      </c>
      <c r="AQ12" s="6">
        <v>22083.7</v>
      </c>
      <c r="AR12" s="6">
        <v>11591.9</v>
      </c>
      <c r="AS12">
        <v>1705</v>
      </c>
      <c r="AT12" s="2">
        <f t="shared" si="0"/>
        <v>0.93530826987561766</v>
      </c>
      <c r="AU12" s="2">
        <f t="shared" si="1"/>
        <v>0.97651904965417435</v>
      </c>
      <c r="AV12" s="2">
        <f t="shared" si="2"/>
        <v>0.98623638755306542</v>
      </c>
      <c r="AW12" s="9" cm="1">
        <f t="array" ref="AW12">-SLOPE(LN(AM12:AO12),LN($AM$27:$AO$27))</f>
        <v>3.7926846839918915</v>
      </c>
      <c r="AX12" s="9" cm="1">
        <f t="array" ref="AX12">-SLOPE(LN(AP12:AR12),LN($AM$27:$AO$27))</f>
        <v>1.4219552185209203</v>
      </c>
      <c r="AY12" s="25">
        <v>174.376</v>
      </c>
      <c r="AZ12" s="2">
        <v>0.89110299999999998</v>
      </c>
      <c r="BA12" s="18">
        <v>131902</v>
      </c>
      <c r="BB12" s="18">
        <v>23652.1</v>
      </c>
      <c r="BC12" s="9">
        <v>8.8925100000000007E-2</v>
      </c>
      <c r="BD12" s="9">
        <v>0.73679099999999997</v>
      </c>
      <c r="BE12" s="9">
        <v>2.4432299999999998</v>
      </c>
      <c r="BF12" s="9">
        <v>5.8109000000000002</v>
      </c>
      <c r="BG12" s="9">
        <v>5.0185000000000004</v>
      </c>
      <c r="BH12" s="9">
        <v>0.67842599999999997</v>
      </c>
      <c r="BI12" s="9">
        <v>9.5782199999999998E-2</v>
      </c>
      <c r="BJ12" s="9">
        <v>0.175654</v>
      </c>
      <c r="BK12" s="9">
        <v>0.19665299999999999</v>
      </c>
      <c r="BL12" s="9">
        <v>0.131582</v>
      </c>
      <c r="BM12" s="9">
        <v>0.177236</v>
      </c>
      <c r="BN12" s="9">
        <v>0.311975</v>
      </c>
      <c r="BO12" s="9">
        <v>0.86874499999999999</v>
      </c>
      <c r="BP12" s="9">
        <v>2.0443099999999998</v>
      </c>
      <c r="BQ12" s="9">
        <v>3.4094600000000002</v>
      </c>
      <c r="BR12" s="9">
        <v>4.4630099999999997</v>
      </c>
      <c r="BS12" s="9">
        <v>6.1334400000000002</v>
      </c>
      <c r="BT12" s="9">
        <v>8.6298300000000001</v>
      </c>
      <c r="BU12" s="9">
        <v>11.8283</v>
      </c>
      <c r="BV12" s="9">
        <v>15.811</v>
      </c>
      <c r="BW12" s="9">
        <v>19.298100000000002</v>
      </c>
      <c r="BX12" s="9">
        <v>22.265000000000001</v>
      </c>
      <c r="BY12" s="9">
        <v>25.040500000000002</v>
      </c>
      <c r="BZ12" s="9">
        <v>27.624700000000001</v>
      </c>
      <c r="CA12" s="9">
        <v>27.509399999999999</v>
      </c>
      <c r="CB12" s="9">
        <v>24.694800000000001</v>
      </c>
      <c r="CC12" s="9">
        <v>20.970199999999998</v>
      </c>
      <c r="CD12" s="9">
        <v>16.336400000000001</v>
      </c>
      <c r="CE12" s="9">
        <v>13.157</v>
      </c>
      <c r="CF12" s="9">
        <v>11.4483</v>
      </c>
      <c r="CG12" s="9">
        <v>9.9563699999999997</v>
      </c>
      <c r="CH12" s="9">
        <v>8.6516599999999997</v>
      </c>
    </row>
    <row r="13" spans="1:86" ht="15" customHeight="1">
      <c r="A13" s="20">
        <v>44326</v>
      </c>
      <c r="B13" s="20" t="s">
        <v>488</v>
      </c>
      <c r="C13" s="20" t="s">
        <v>529</v>
      </c>
      <c r="D13" s="20" t="s">
        <v>501</v>
      </c>
      <c r="E13" s="22">
        <v>44326.392361111109</v>
      </c>
      <c r="F13" s="22">
        <v>44326.410416666666</v>
      </c>
      <c r="G13" s="2">
        <v>8.1367499999999993</v>
      </c>
      <c r="H13" s="25">
        <v>0.73320300000000005</v>
      </c>
      <c r="I13" s="25">
        <v>12.184200000000001</v>
      </c>
      <c r="J13" s="6">
        <v>2196.7399999999998</v>
      </c>
      <c r="K13" s="25">
        <v>122.55</v>
      </c>
      <c r="L13" s="25">
        <v>88.530100000000004</v>
      </c>
      <c r="M13" s="9">
        <v>15.2233</v>
      </c>
      <c r="N13" s="9">
        <v>1.36351</v>
      </c>
      <c r="O13" s="9">
        <v>1.25169</v>
      </c>
      <c r="P13" s="25">
        <v>149.97900000000001</v>
      </c>
      <c r="Q13" s="25">
        <v>59.461399999999998</v>
      </c>
      <c r="R13" s="25">
        <v>64.808800000000005</v>
      </c>
      <c r="S13" s="25">
        <v>14.5535</v>
      </c>
      <c r="T13" s="30">
        <v>24.078700000000001</v>
      </c>
      <c r="U13" s="30">
        <v>0.625803</v>
      </c>
      <c r="V13" s="30">
        <v>13.9953</v>
      </c>
      <c r="W13" s="9">
        <v>1.6044700000000001</v>
      </c>
      <c r="X13" s="9">
        <v>1.5863100000000001</v>
      </c>
      <c r="Y13" s="9">
        <v>1.8734599999999999</v>
      </c>
      <c r="Z13" s="9">
        <v>2.11368</v>
      </c>
      <c r="AA13" s="9">
        <v>2.39113</v>
      </c>
      <c r="AB13" s="9">
        <v>2.91439</v>
      </c>
      <c r="AC13" s="9">
        <v>4.22539</v>
      </c>
      <c r="AD13">
        <v>321</v>
      </c>
      <c r="AE13" s="109" cm="1">
        <f t="array" ref="AE13">1-SLOPE(LN(W13:AC13),LN($W$27:$AC$27))</f>
        <v>2.0024022614790544</v>
      </c>
      <c r="AF13" s="9">
        <v>1.59239</v>
      </c>
      <c r="AG13" s="9">
        <v>1.9173199999999999</v>
      </c>
      <c r="AH13" s="9">
        <v>2.1787399999999999</v>
      </c>
      <c r="AI13" s="9">
        <v>2.5086300000000001</v>
      </c>
      <c r="AJ13" s="9">
        <v>3.4003299999999999</v>
      </c>
      <c r="AK13">
        <v>0</v>
      </c>
      <c r="AL13" s="9" cm="1">
        <f t="array" ref="AL13">1-SLOPE(LN(AF13:AJ13),LN($AF$27:$AJ$27))</f>
        <v>1.8697719414358591</v>
      </c>
      <c r="AM13" s="6"/>
      <c r="AN13" s="6">
        <v>10085.799999999999</v>
      </c>
      <c r="AO13" s="6">
        <v>6893.61</v>
      </c>
      <c r="AP13" s="6"/>
      <c r="AQ13" s="6">
        <v>117473</v>
      </c>
      <c r="AR13" s="6">
        <v>41500</v>
      </c>
      <c r="AS13">
        <v>136</v>
      </c>
      <c r="AT13" s="2"/>
      <c r="AU13" s="2">
        <f t="shared" ref="AU13:AU16" si="3">AQ13/(AQ13+AN13)</f>
        <v>0.9209321505062763</v>
      </c>
      <c r="AV13" s="2">
        <f t="shared" ref="AV13:AV16" si="4">AR13/(AR13+AO13)</f>
        <v>0.85755123455348747</v>
      </c>
      <c r="AW13" s="28" cm="1">
        <f t="array" ref="AW13">-SLOPE(LN(AN13:AO13),LN($AN$27:$AO$27))</f>
        <v>0.99114930489054542</v>
      </c>
      <c r="AX13" s="28" cm="1">
        <f t="array" ref="AX13">-SLOPE(LN(AQ13:AR13),LN($AN$27:$AO$27))</f>
        <v>2.710157040340504</v>
      </c>
      <c r="AY13" s="25">
        <v>129.79599999999999</v>
      </c>
      <c r="AZ13" s="2">
        <v>1.06152</v>
      </c>
      <c r="BA13" s="18">
        <v>1637350</v>
      </c>
      <c r="BB13" s="18">
        <v>530891</v>
      </c>
      <c r="BC13" s="9">
        <v>4.5469999999999997</v>
      </c>
      <c r="BD13" s="9">
        <v>4.5696199999999996</v>
      </c>
      <c r="BE13" s="9">
        <v>6.4733999999999998</v>
      </c>
      <c r="BF13" s="9">
        <v>12.093500000000001</v>
      </c>
      <c r="BG13" s="9">
        <v>12.0839</v>
      </c>
      <c r="BH13" s="9">
        <v>6.60426</v>
      </c>
      <c r="BI13" s="9">
        <v>8.4962700000000009</v>
      </c>
      <c r="BJ13" s="9">
        <v>15.1752</v>
      </c>
      <c r="BK13" s="9">
        <v>22.35</v>
      </c>
      <c r="BL13" s="9">
        <v>29.4023</v>
      </c>
      <c r="BM13" s="9">
        <v>36.3262</v>
      </c>
      <c r="BN13" s="9">
        <v>43.052799999999998</v>
      </c>
      <c r="BO13" s="9">
        <v>58.736400000000003</v>
      </c>
      <c r="BP13" s="9">
        <v>83.575500000000005</v>
      </c>
      <c r="BQ13" s="9">
        <v>108.33199999999999</v>
      </c>
      <c r="BR13" s="9">
        <v>133.054</v>
      </c>
      <c r="BS13" s="9">
        <v>159.08099999999999</v>
      </c>
      <c r="BT13" s="9">
        <v>186.72800000000001</v>
      </c>
      <c r="BU13" s="9">
        <v>210.005</v>
      </c>
      <c r="BV13" s="9">
        <v>231.49</v>
      </c>
      <c r="BW13" s="9">
        <v>247.768</v>
      </c>
      <c r="BX13" s="9">
        <v>258.01</v>
      </c>
      <c r="BY13" s="9">
        <v>268.82799999999997</v>
      </c>
      <c r="BZ13" s="9">
        <v>280.22199999999998</v>
      </c>
      <c r="CA13" s="9">
        <v>263.44600000000003</v>
      </c>
      <c r="CB13" s="9">
        <v>218.5</v>
      </c>
      <c r="CC13" s="9">
        <v>173.39699999999999</v>
      </c>
      <c r="CD13" s="9">
        <v>128.137</v>
      </c>
      <c r="CE13" s="9">
        <v>97.675299999999993</v>
      </c>
      <c r="CF13" s="9">
        <v>82.010999999999996</v>
      </c>
      <c r="CG13" s="9">
        <v>69.059200000000004</v>
      </c>
      <c r="CH13" s="9">
        <v>58.819800000000001</v>
      </c>
    </row>
    <row r="14" spans="1:86" ht="15" customHeight="1">
      <c r="A14" s="20">
        <v>44326</v>
      </c>
      <c r="B14" s="20" t="s">
        <v>488</v>
      </c>
      <c r="C14" s="20" t="s">
        <v>529</v>
      </c>
      <c r="D14" s="20" t="s">
        <v>504</v>
      </c>
      <c r="E14" s="22">
        <v>44326.411805555559</v>
      </c>
      <c r="F14" s="22">
        <v>44326.559374999997</v>
      </c>
      <c r="G14" s="2">
        <v>9.8026800000000005</v>
      </c>
      <c r="H14" s="25">
        <v>0.27855099999999999</v>
      </c>
      <c r="I14" s="25">
        <v>10.9986</v>
      </c>
      <c r="J14" s="6">
        <v>1308.45</v>
      </c>
      <c r="K14" s="25">
        <v>29.339700000000001</v>
      </c>
      <c r="L14" s="25">
        <v>57.589399999999998</v>
      </c>
      <c r="M14" s="9">
        <v>20.924399999999999</v>
      </c>
      <c r="N14" s="9">
        <v>0.69858500000000001</v>
      </c>
      <c r="O14" s="9">
        <v>0.67133500000000002</v>
      </c>
      <c r="P14" s="25">
        <v>90.532499999999999</v>
      </c>
      <c r="Q14" s="25">
        <v>110.087</v>
      </c>
      <c r="R14" s="25">
        <v>109.19799999999999</v>
      </c>
      <c r="S14" s="25">
        <v>14.491400000000001</v>
      </c>
      <c r="T14" s="30">
        <v>8.5153599999999994</v>
      </c>
      <c r="U14" s="30">
        <v>5.77294E-2</v>
      </c>
      <c r="V14" s="30">
        <v>4.7340999999999998</v>
      </c>
      <c r="W14" s="9">
        <v>0.14794099999999999</v>
      </c>
      <c r="X14" s="9">
        <v>0.15091499999999999</v>
      </c>
      <c r="Y14" s="9">
        <v>0.235906</v>
      </c>
      <c r="Z14" s="9">
        <v>0.29896299999999998</v>
      </c>
      <c r="AA14" s="9">
        <v>0.38133299999999998</v>
      </c>
      <c r="AB14" s="9">
        <v>0.54871199999999998</v>
      </c>
      <c r="AC14" s="9">
        <v>1.0795699999999999</v>
      </c>
      <c r="AD14">
        <v>1030</v>
      </c>
      <c r="AE14" s="109" cm="1">
        <f t="array" ref="AE14">1-SLOPE(LN(W14:AC14),LN($W$27:$AC$27))</f>
        <v>3.0790977033207634</v>
      </c>
      <c r="AF14" s="9">
        <v>0.18867800000000001</v>
      </c>
      <c r="AG14" s="9">
        <v>0.27329599999999998</v>
      </c>
      <c r="AH14" s="9">
        <v>0.35780299999999998</v>
      </c>
      <c r="AI14" s="9">
        <v>0.45448899999999998</v>
      </c>
      <c r="AJ14" s="9">
        <v>0.72815399999999997</v>
      </c>
      <c r="AK14">
        <v>31</v>
      </c>
      <c r="AL14" s="9" cm="1">
        <f t="array" ref="AL14">1-SLOPE(LN(AF14:AJ14),LN($AF$27:$AJ$27))</f>
        <v>2.5724193361638195</v>
      </c>
      <c r="AM14" s="6"/>
      <c r="AN14" s="6">
        <v>1455.34</v>
      </c>
      <c r="AO14" s="6">
        <v>676.99400000000003</v>
      </c>
      <c r="AP14" s="6"/>
      <c r="AQ14" s="6">
        <v>35962.6</v>
      </c>
      <c r="AR14" s="6">
        <v>14271.2</v>
      </c>
      <c r="AS14">
        <v>1297</v>
      </c>
      <c r="AT14" s="2"/>
      <c r="AU14" s="2">
        <f t="shared" si="3"/>
        <v>0.96110582250118537</v>
      </c>
      <c r="AV14" s="2">
        <f t="shared" si="4"/>
        <v>0.95471064932660088</v>
      </c>
      <c r="AW14" s="28" cm="1">
        <f t="array" ref="AW14">-SLOPE(LN(AN14:AO14),LN($AN$27:$AO$27))</f>
        <v>1.9934079363154649</v>
      </c>
      <c r="AX14" s="28" cm="1">
        <f t="array" ref="AX14">-SLOPE(LN(AQ14:AR14),LN($AN$27:$AO$27))</f>
        <v>2.4072929747295664</v>
      </c>
      <c r="AY14" s="25">
        <v>147.733</v>
      </c>
      <c r="AZ14" s="2">
        <v>1.0197000000000001</v>
      </c>
      <c r="BA14" s="18">
        <v>401334</v>
      </c>
      <c r="BB14" s="18">
        <v>113393</v>
      </c>
      <c r="BC14" s="9">
        <v>2.0792600000000001</v>
      </c>
      <c r="BD14" s="9">
        <v>2.83528</v>
      </c>
      <c r="BE14" s="9">
        <v>4.7460699999999996</v>
      </c>
      <c r="BF14" s="9">
        <v>9.8883200000000002</v>
      </c>
      <c r="BG14" s="9">
        <v>9.4693299999999994</v>
      </c>
      <c r="BH14" s="9">
        <v>3.10758</v>
      </c>
      <c r="BI14" s="9">
        <v>1.5842700000000001</v>
      </c>
      <c r="BJ14" s="9">
        <v>2.9599299999999999</v>
      </c>
      <c r="BK14" s="9">
        <v>4.0333500000000004</v>
      </c>
      <c r="BL14" s="9">
        <v>4.0471000000000004</v>
      </c>
      <c r="BM14" s="9">
        <v>5.0040100000000001</v>
      </c>
      <c r="BN14" s="9">
        <v>6.7407399999999997</v>
      </c>
      <c r="BO14" s="9">
        <v>10.299799999999999</v>
      </c>
      <c r="BP14" s="9">
        <v>16.0213</v>
      </c>
      <c r="BQ14" s="9">
        <v>21.421800000000001</v>
      </c>
      <c r="BR14" s="9">
        <v>26.6769</v>
      </c>
      <c r="BS14" s="9">
        <v>32.174799999999998</v>
      </c>
      <c r="BT14" s="9">
        <v>37.789299999999997</v>
      </c>
      <c r="BU14" s="9">
        <v>43.666699999999999</v>
      </c>
      <c r="BV14" s="9">
        <v>50.191200000000002</v>
      </c>
      <c r="BW14" s="9">
        <v>56.536299999999997</v>
      </c>
      <c r="BX14" s="9">
        <v>62.667999999999999</v>
      </c>
      <c r="BY14" s="9">
        <v>68.289599999999993</v>
      </c>
      <c r="BZ14" s="9">
        <v>73.401200000000003</v>
      </c>
      <c r="CA14" s="9">
        <v>70.779200000000003</v>
      </c>
      <c r="CB14" s="9">
        <v>60.4238</v>
      </c>
      <c r="CC14" s="9">
        <v>49.231499999999997</v>
      </c>
      <c r="CD14" s="9">
        <v>37.202399999999997</v>
      </c>
      <c r="CE14" s="9">
        <v>28.978300000000001</v>
      </c>
      <c r="CF14" s="9">
        <v>24.5594</v>
      </c>
      <c r="CG14" s="9">
        <v>20.854399999999998</v>
      </c>
      <c r="CH14" s="9">
        <v>17.862200000000001</v>
      </c>
    </row>
    <row r="15" spans="1:86" ht="15" customHeight="1">
      <c r="A15" s="20">
        <v>44336</v>
      </c>
      <c r="B15" s="20" t="s">
        <v>488</v>
      </c>
      <c r="C15" s="20" t="s">
        <v>530</v>
      </c>
      <c r="D15" s="20" t="s">
        <v>501</v>
      </c>
      <c r="E15" s="22">
        <v>44336.40347222222</v>
      </c>
      <c r="F15" s="22">
        <v>44336.425000000003</v>
      </c>
      <c r="G15" s="2">
        <v>7.4173400000000003</v>
      </c>
      <c r="H15" s="25">
        <v>0.45088099999999998</v>
      </c>
      <c r="I15" s="25">
        <v>12.905200000000001</v>
      </c>
      <c r="J15" s="6">
        <v>1915.29</v>
      </c>
      <c r="K15" s="25">
        <v>72.337699999999998</v>
      </c>
      <c r="L15" s="25">
        <v>69.896900000000002</v>
      </c>
      <c r="M15" s="9">
        <v>10.269399999999999</v>
      </c>
      <c r="N15" s="9">
        <v>1.28125</v>
      </c>
      <c r="O15" s="9">
        <v>1.1903999999999999</v>
      </c>
      <c r="P15" s="25">
        <v>116.608</v>
      </c>
      <c r="Q15" s="25">
        <v>62.856499999999997</v>
      </c>
      <c r="R15" s="25">
        <v>110.748</v>
      </c>
      <c r="S15" s="25">
        <v>16.301100000000002</v>
      </c>
      <c r="T15" s="30">
        <v>6.0454499999999998</v>
      </c>
      <c r="U15" s="30">
        <v>0.60206800000000005</v>
      </c>
      <c r="V15" s="30">
        <v>9.2919</v>
      </c>
      <c r="W15" s="9">
        <v>1.47224</v>
      </c>
      <c r="X15" s="9">
        <v>1.4530000000000001</v>
      </c>
      <c r="Y15" s="9">
        <v>1.66638</v>
      </c>
      <c r="Z15" s="9">
        <v>1.87538</v>
      </c>
      <c r="AA15" s="9">
        <v>2.10629</v>
      </c>
      <c r="AB15" s="9">
        <v>2.4993099999999999</v>
      </c>
      <c r="AC15" s="9">
        <v>3.4157500000000001</v>
      </c>
      <c r="AD15">
        <v>318</v>
      </c>
      <c r="AE15" s="109" cm="1">
        <f t="array" ref="AE15">1-SLOPE(LN(W15:AC15),LN($W$27:$AC$27))</f>
        <v>1.880903622962188</v>
      </c>
      <c r="AF15" s="9">
        <v>1.83809</v>
      </c>
      <c r="AG15" s="9">
        <v>2.1526700000000001</v>
      </c>
      <c r="AH15" s="9">
        <v>2.3662399999999999</v>
      </c>
      <c r="AI15" s="9">
        <v>2.6185800000000001</v>
      </c>
      <c r="AJ15" s="9">
        <v>3.2324600000000001</v>
      </c>
      <c r="AK15">
        <v>0</v>
      </c>
      <c r="AL15" s="9" cm="1">
        <f t="array" ref="AL15">1-SLOPE(LN(AF15:AJ15),LN($AF$27:$AJ$27))</f>
        <v>1.6494285275035148</v>
      </c>
      <c r="AM15" s="6">
        <v>26554</v>
      </c>
      <c r="AN15" s="6">
        <v>10572.7</v>
      </c>
      <c r="AO15" s="6">
        <v>7301.31</v>
      </c>
      <c r="AP15" s="6">
        <v>122702</v>
      </c>
      <c r="AQ15" s="6">
        <v>94380.2</v>
      </c>
      <c r="AR15" s="6">
        <v>33734.800000000003</v>
      </c>
      <c r="AS15">
        <v>205</v>
      </c>
      <c r="AT15" s="2">
        <f t="shared" ref="AT15:AT16" si="5">AP15/(AP15+AM15)</f>
        <v>0.82209090421825592</v>
      </c>
      <c r="AU15" s="2">
        <f t="shared" si="3"/>
        <v>0.89926243105240544</v>
      </c>
      <c r="AV15" s="2">
        <f t="shared" si="4"/>
        <v>0.82207597162596557</v>
      </c>
      <c r="AW15" s="9" cm="1">
        <f t="array" ref="AW15">-SLOPE(LN(AM15:AO15),LN($AM$27:$AO$27))</f>
        <v>1.9006373646143324</v>
      </c>
      <c r="AX15" s="9" cm="1">
        <f t="array" ref="AX15">-SLOPE(LN(AP15:AR15),LN($AM$27:$AO$27))</f>
        <v>2.0129012454390525</v>
      </c>
      <c r="AY15" s="25">
        <v>141.17699999999999</v>
      </c>
      <c r="AZ15" s="2">
        <v>1.03386</v>
      </c>
      <c r="BA15" s="18">
        <v>1248390</v>
      </c>
      <c r="BB15" s="18">
        <v>363862</v>
      </c>
      <c r="BC15" s="9">
        <v>2.0900599999999998</v>
      </c>
      <c r="BD15" s="9">
        <v>1.8167800000000001</v>
      </c>
      <c r="BE15" s="9">
        <v>2.8321200000000002</v>
      </c>
      <c r="BF15" s="9">
        <v>7.6005500000000001</v>
      </c>
      <c r="BG15" s="9">
        <v>8.2286300000000008</v>
      </c>
      <c r="BH15" s="9">
        <v>5.1767300000000001</v>
      </c>
      <c r="BI15" s="9">
        <v>6.8998900000000001</v>
      </c>
      <c r="BJ15" s="9">
        <v>10.400600000000001</v>
      </c>
      <c r="BK15" s="9">
        <v>14.987299999999999</v>
      </c>
      <c r="BL15" s="9">
        <v>20.133500000000002</v>
      </c>
      <c r="BM15" s="9">
        <v>25.0489</v>
      </c>
      <c r="BN15" s="9">
        <v>29.398299999999999</v>
      </c>
      <c r="BO15" s="9">
        <v>38.341900000000003</v>
      </c>
      <c r="BP15" s="9">
        <v>51.868499999999997</v>
      </c>
      <c r="BQ15" s="9">
        <v>65.418999999999997</v>
      </c>
      <c r="BR15" s="9">
        <v>79.026300000000006</v>
      </c>
      <c r="BS15" s="9">
        <v>93.615700000000004</v>
      </c>
      <c r="BT15" s="9">
        <v>109.55200000000001</v>
      </c>
      <c r="BU15" s="9">
        <v>125.479</v>
      </c>
      <c r="BV15" s="9">
        <v>145.18299999999999</v>
      </c>
      <c r="BW15" s="9">
        <v>162.51400000000001</v>
      </c>
      <c r="BX15" s="9">
        <v>177.21199999999999</v>
      </c>
      <c r="BY15" s="9">
        <v>190.86199999999999</v>
      </c>
      <c r="BZ15" s="9">
        <v>203.464</v>
      </c>
      <c r="CA15" s="9">
        <v>194.40899999999999</v>
      </c>
      <c r="CB15" s="9">
        <v>163.69800000000001</v>
      </c>
      <c r="CC15" s="9">
        <v>131.23400000000001</v>
      </c>
      <c r="CD15" s="9">
        <v>97.016999999999996</v>
      </c>
      <c r="CE15" s="9">
        <v>73.809700000000007</v>
      </c>
      <c r="CF15" s="9">
        <v>61.611600000000003</v>
      </c>
      <c r="CG15" s="9">
        <v>51.653100000000002</v>
      </c>
      <c r="CH15" s="9">
        <v>43.934100000000001</v>
      </c>
    </row>
    <row r="16" spans="1:86" ht="15" customHeight="1">
      <c r="A16" s="20">
        <v>44336</v>
      </c>
      <c r="B16" s="20" t="s">
        <v>488</v>
      </c>
      <c r="C16" s="20" t="s">
        <v>530</v>
      </c>
      <c r="D16" s="20" t="s">
        <v>504</v>
      </c>
      <c r="E16" s="22">
        <v>44336.426388888889</v>
      </c>
      <c r="F16" s="22">
        <v>44336.568055555559</v>
      </c>
      <c r="G16" s="2">
        <v>14.1175</v>
      </c>
      <c r="H16" s="25">
        <v>0.16241900000000001</v>
      </c>
      <c r="I16" s="25">
        <v>6.3025500000000001</v>
      </c>
      <c r="J16" s="6">
        <v>1540</v>
      </c>
      <c r="K16" s="25">
        <v>20.6861</v>
      </c>
      <c r="L16" s="25">
        <v>26.247399999999999</v>
      </c>
      <c r="M16" s="9">
        <v>12.982699999999999</v>
      </c>
      <c r="N16" s="9">
        <v>1.16876</v>
      </c>
      <c r="O16" s="9">
        <v>1.1338600000000001</v>
      </c>
      <c r="P16" s="25">
        <v>110.26600000000001</v>
      </c>
      <c r="Q16" s="25">
        <v>126.74299999999999</v>
      </c>
      <c r="R16" s="25">
        <v>59.768999999999998</v>
      </c>
      <c r="S16" s="25">
        <v>13.916399999999999</v>
      </c>
      <c r="T16" s="30">
        <v>2.6090200000000001</v>
      </c>
      <c r="U16" s="30">
        <v>0.126971</v>
      </c>
      <c r="V16" s="30">
        <v>0.89789799999999997</v>
      </c>
      <c r="W16" s="9">
        <v>0.25739699999999999</v>
      </c>
      <c r="X16" s="9">
        <v>0.25471700000000003</v>
      </c>
      <c r="Y16" s="9">
        <v>0.32136999999999999</v>
      </c>
      <c r="Z16" s="9">
        <v>0.35406300000000002</v>
      </c>
      <c r="AA16" s="9">
        <v>0.38360300000000003</v>
      </c>
      <c r="AB16" s="9">
        <v>0.42549900000000002</v>
      </c>
      <c r="AC16" s="9">
        <v>0.43786700000000001</v>
      </c>
      <c r="AD16">
        <v>508</v>
      </c>
      <c r="AE16" s="109" cm="1">
        <f t="array" ref="AE16">1-SLOPE(LN(W16:AC16),LN($W$27:$AC$27))</f>
        <v>1.6449559169669601</v>
      </c>
      <c r="AF16" s="9">
        <v>0.35624899999999998</v>
      </c>
      <c r="AG16" s="9">
        <v>0.39892499999999997</v>
      </c>
      <c r="AH16" s="9">
        <v>0.41392899999999999</v>
      </c>
      <c r="AI16" s="9">
        <v>0.43663099999999999</v>
      </c>
      <c r="AJ16" s="9">
        <v>0.45932200000000001</v>
      </c>
      <c r="AK16">
        <v>31</v>
      </c>
      <c r="AL16" s="9" cm="1">
        <f t="array" ref="AL16">1-SLOPE(LN(AF16:AJ16),LN($AF$27:$AJ$27))</f>
        <v>1.3007885372734487</v>
      </c>
      <c r="AM16" s="6">
        <v>4780.7700000000004</v>
      </c>
      <c r="AN16" s="6">
        <v>2277.7600000000002</v>
      </c>
      <c r="AO16" s="6">
        <v>1696.43</v>
      </c>
      <c r="AP16" s="6">
        <v>8543.9699999999993</v>
      </c>
      <c r="AQ16" s="6">
        <v>6809.53</v>
      </c>
      <c r="AR16" s="6">
        <v>2431.65</v>
      </c>
      <c r="AS16">
        <v>1228</v>
      </c>
      <c r="AT16" s="2">
        <f t="shared" si="5"/>
        <v>0.64121101049626483</v>
      </c>
      <c r="AU16" s="2">
        <f t="shared" si="3"/>
        <v>0.74934661488738652</v>
      </c>
      <c r="AV16" s="2">
        <f t="shared" si="4"/>
        <v>0.58905108428131236</v>
      </c>
      <c r="AW16" s="9" cm="1">
        <f t="array" ref="AW16">-SLOPE(LN(AM16:AO16),LN($AM$27:$AO$27))</f>
        <v>1.5247705508485101</v>
      </c>
      <c r="AX16" s="9" cm="1">
        <f t="array" ref="AX16">-SLOPE(LN(AP16:AR16),LN($AM$27:$AO$27))</f>
        <v>1.9638569098390399</v>
      </c>
      <c r="AY16" s="25">
        <v>88.324299999999994</v>
      </c>
      <c r="AZ16" s="2">
        <v>1.18065</v>
      </c>
      <c r="BA16" s="18">
        <v>335142</v>
      </c>
      <c r="BB16" s="18">
        <v>172438</v>
      </c>
      <c r="BC16" s="9">
        <v>1.39652</v>
      </c>
      <c r="BD16" s="9">
        <v>1.5009600000000001</v>
      </c>
      <c r="BE16" s="9">
        <v>3.0215000000000001</v>
      </c>
      <c r="BF16" s="9">
        <v>8.2557100000000005</v>
      </c>
      <c r="BG16" s="9">
        <v>9.0087799999999998</v>
      </c>
      <c r="BH16" s="9">
        <v>4.6780099999999996</v>
      </c>
      <c r="BI16" s="9">
        <v>4.6018400000000002</v>
      </c>
      <c r="BJ16" s="9">
        <v>7.2088799999999997</v>
      </c>
      <c r="BK16" s="9">
        <v>10.245699999999999</v>
      </c>
      <c r="BL16" s="9">
        <v>13.5318</v>
      </c>
      <c r="BM16" s="9">
        <v>17.1557</v>
      </c>
      <c r="BN16" s="9">
        <v>21.0259</v>
      </c>
      <c r="BO16" s="9">
        <v>26.296099999999999</v>
      </c>
      <c r="BP16" s="9">
        <v>33.135800000000003</v>
      </c>
      <c r="BQ16" s="9">
        <v>38.848399999999998</v>
      </c>
      <c r="BR16" s="9">
        <v>43.366999999999997</v>
      </c>
      <c r="BS16" s="9">
        <v>46.566400000000002</v>
      </c>
      <c r="BT16" s="9">
        <v>48.4467</v>
      </c>
      <c r="BU16" s="9">
        <v>48.957999999999998</v>
      </c>
      <c r="BV16" s="9">
        <v>48.111800000000002</v>
      </c>
      <c r="BW16" s="9">
        <v>47.167900000000003</v>
      </c>
      <c r="BX16" s="9">
        <v>46.126399999999997</v>
      </c>
      <c r="BY16" s="9">
        <v>44.959200000000003</v>
      </c>
      <c r="BZ16" s="9">
        <v>43.666400000000003</v>
      </c>
      <c r="CA16" s="9">
        <v>38.617899999999999</v>
      </c>
      <c r="CB16" s="9">
        <v>29.813800000000001</v>
      </c>
      <c r="CC16" s="9">
        <v>21.9116</v>
      </c>
      <c r="CD16" s="9">
        <v>14.911099999999999</v>
      </c>
      <c r="CE16" s="9">
        <v>10.2963</v>
      </c>
      <c r="CF16" s="9">
        <v>8.0681200000000004</v>
      </c>
      <c r="CG16" s="9">
        <v>6.4130900000000004</v>
      </c>
      <c r="CH16" s="9">
        <v>5.32585</v>
      </c>
    </row>
    <row r="17" spans="1:86" ht="15" customHeight="1">
      <c r="A17" s="20">
        <v>44341</v>
      </c>
      <c r="B17" s="20" t="s">
        <v>488</v>
      </c>
      <c r="C17" s="20" t="s">
        <v>530</v>
      </c>
      <c r="D17" s="20" t="s">
        <v>501</v>
      </c>
      <c r="E17" s="22">
        <v>44341.361805555556</v>
      </c>
      <c r="F17" s="22">
        <v>44341.381944444445</v>
      </c>
      <c r="G17" s="2">
        <v>10.0703</v>
      </c>
      <c r="H17" s="25">
        <v>1.26207</v>
      </c>
      <c r="I17" s="25">
        <v>9.6920400000000004</v>
      </c>
      <c r="J17" s="6">
        <v>2370.64</v>
      </c>
      <c r="K17" s="25">
        <v>194.78700000000001</v>
      </c>
      <c r="L17" s="25">
        <v>142.94900000000001</v>
      </c>
      <c r="M17" s="9">
        <v>26.621700000000001</v>
      </c>
      <c r="N17" s="9">
        <v>1.4583299999999999</v>
      </c>
      <c r="O17" s="9">
        <v>1.3246199999999999</v>
      </c>
      <c r="P17" s="25">
        <v>208.60300000000001</v>
      </c>
      <c r="Q17" s="25">
        <v>58.516500000000001</v>
      </c>
      <c r="R17" s="25">
        <v>82.232500000000002</v>
      </c>
      <c r="S17" s="25">
        <v>11.352600000000001</v>
      </c>
      <c r="T17" s="30">
        <v>26.363299999999999</v>
      </c>
      <c r="U17" s="30">
        <v>1.34721</v>
      </c>
      <c r="V17" s="30">
        <v>15.78</v>
      </c>
      <c r="W17" s="9">
        <v>2.0584199999999999</v>
      </c>
      <c r="X17" s="9">
        <v>2.0661399999999999</v>
      </c>
      <c r="Y17" s="9">
        <v>2.6766899999999998</v>
      </c>
      <c r="Z17" s="9">
        <v>2.9872899999999998</v>
      </c>
      <c r="AA17" s="9">
        <v>3.31236</v>
      </c>
      <c r="AB17" s="9">
        <v>3.9815399999999999</v>
      </c>
      <c r="AC17" s="9">
        <v>5.4735800000000001</v>
      </c>
      <c r="AD17">
        <v>531</v>
      </c>
      <c r="AE17" s="109" cm="1">
        <f t="array" ref="AE17">1-SLOPE(LN(W17:AC17),LN($W$27:$AC$27))</f>
        <v>2.0306622265877809</v>
      </c>
      <c r="AF17" s="9">
        <v>2.83988</v>
      </c>
      <c r="AG17" s="9">
        <v>3.38828</v>
      </c>
      <c r="AH17" s="9">
        <v>3.67231</v>
      </c>
      <c r="AI17" s="9">
        <v>4.0017100000000001</v>
      </c>
      <c r="AJ17" s="9">
        <v>4.6047700000000003</v>
      </c>
      <c r="AK17">
        <v>30</v>
      </c>
      <c r="AL17" s="9" cm="1">
        <f t="array" ref="AL17">1-SLOPE(LN(AF17:AJ17),LN($AF$27:$AJ$27))</f>
        <v>1.5635325597182164</v>
      </c>
      <c r="AM17" s="6">
        <v>45035.3</v>
      </c>
      <c r="AN17" s="6">
        <v>18503.8</v>
      </c>
      <c r="AO17" s="6">
        <v>13126.8</v>
      </c>
      <c r="AP17" s="6">
        <v>139932</v>
      </c>
      <c r="AQ17" s="6">
        <v>124887</v>
      </c>
      <c r="AR17" s="6">
        <v>56506</v>
      </c>
      <c r="AS17">
        <v>205</v>
      </c>
      <c r="AT17" s="2">
        <f t="shared" ref="AT17:AT18" si="6">AP17/(AP17+AM17)</f>
        <v>0.75652290972512448</v>
      </c>
      <c r="AU17" s="2">
        <f t="shared" ref="AU17:AU18" si="7">AQ17/(AQ17+AN17)</f>
        <v>0.87095545878815106</v>
      </c>
      <c r="AV17" s="2">
        <f t="shared" ref="AV17:AV18" si="8">AR17/(AR17+AO17)</f>
        <v>0.81148539194172853</v>
      </c>
      <c r="AW17" s="9" cm="1">
        <f t="array" ref="AW17">-SLOPE(LN(AM17:AO17),LN($AM$27:$AO$27))</f>
        <v>1.8130303846677069</v>
      </c>
      <c r="AX17" s="9" cm="1">
        <f t="array" ref="AX17">-SLOPE(LN(AP17:AR17),LN($AM$27:$AO$27))</f>
        <v>1.4256399925670922</v>
      </c>
      <c r="AY17" s="25">
        <v>120.831</v>
      </c>
      <c r="AZ17" s="2">
        <v>1.1938899999999999</v>
      </c>
      <c r="BA17" s="18">
        <v>1391890</v>
      </c>
      <c r="BB17" s="18">
        <v>514013</v>
      </c>
      <c r="BC17" s="9">
        <v>3.74884</v>
      </c>
      <c r="BD17" s="9">
        <v>2.95947</v>
      </c>
      <c r="BE17" s="9">
        <v>3.9762200000000001</v>
      </c>
      <c r="BF17" s="9">
        <v>8.1264000000000003</v>
      </c>
      <c r="BG17" s="9">
        <v>9.3547499999999992</v>
      </c>
      <c r="BH17" s="9">
        <v>9.2754799999999999</v>
      </c>
      <c r="BI17" s="9">
        <v>13.8428</v>
      </c>
      <c r="BJ17" s="9">
        <v>20.5871</v>
      </c>
      <c r="BK17" s="9">
        <v>30.862200000000001</v>
      </c>
      <c r="BL17" s="9">
        <v>44.406799999999997</v>
      </c>
      <c r="BM17" s="9">
        <v>57.2468</v>
      </c>
      <c r="BN17" s="9">
        <v>69.319000000000003</v>
      </c>
      <c r="BO17" s="9">
        <v>89.153300000000002</v>
      </c>
      <c r="BP17" s="9">
        <v>116.711</v>
      </c>
      <c r="BQ17" s="9">
        <v>142.72300000000001</v>
      </c>
      <c r="BR17" s="9">
        <v>167.21</v>
      </c>
      <c r="BS17" s="9">
        <v>189.62700000000001</v>
      </c>
      <c r="BT17" s="9">
        <v>210.36</v>
      </c>
      <c r="BU17" s="9">
        <v>226.232</v>
      </c>
      <c r="BV17" s="9">
        <v>239.28399999999999</v>
      </c>
      <c r="BW17" s="9">
        <v>249.71600000000001</v>
      </c>
      <c r="BX17" s="9">
        <v>257.5</v>
      </c>
      <c r="BY17" s="9">
        <v>266.47000000000003</v>
      </c>
      <c r="BZ17" s="9">
        <v>276.62200000000001</v>
      </c>
      <c r="CA17" s="9">
        <v>260.61900000000003</v>
      </c>
      <c r="CB17" s="9">
        <v>218.46</v>
      </c>
      <c r="CC17" s="9">
        <v>175.988</v>
      </c>
      <c r="CD17" s="9">
        <v>133.203</v>
      </c>
      <c r="CE17" s="9">
        <v>104.61499999999999</v>
      </c>
      <c r="CF17" s="9">
        <v>90.222300000000004</v>
      </c>
      <c r="CG17" s="9">
        <v>77.813000000000002</v>
      </c>
      <c r="CH17" s="9">
        <v>67.386600000000001</v>
      </c>
    </row>
    <row r="18" spans="1:86" ht="15" customHeight="1">
      <c r="A18" s="20">
        <v>44341</v>
      </c>
      <c r="B18" s="20" t="s">
        <v>488</v>
      </c>
      <c r="C18" s="20" t="s">
        <v>530</v>
      </c>
      <c r="D18" s="20" t="s">
        <v>505</v>
      </c>
      <c r="E18" s="22">
        <v>44341.383333333331</v>
      </c>
      <c r="F18" s="22">
        <v>44341.73541666667</v>
      </c>
      <c r="G18" s="2">
        <v>11.9307</v>
      </c>
      <c r="H18" s="25">
        <v>8.1273499999999999E-2</v>
      </c>
      <c r="I18" s="25">
        <v>8.5468100000000007</v>
      </c>
      <c r="J18" s="6">
        <v>1072.73</v>
      </c>
      <c r="K18" s="25">
        <v>4.9558999999999997</v>
      </c>
      <c r="L18" s="25">
        <v>20.784500000000001</v>
      </c>
      <c r="M18" s="9">
        <v>13.31</v>
      </c>
      <c r="N18" s="9">
        <v>0.93400099999999997</v>
      </c>
      <c r="O18" s="9">
        <v>0.90003100000000003</v>
      </c>
      <c r="P18" s="25">
        <v>95.468000000000004</v>
      </c>
      <c r="Q18" s="25">
        <v>212.12799999999999</v>
      </c>
      <c r="R18" s="25">
        <v>60.415599999999998</v>
      </c>
      <c r="S18" s="25">
        <v>11.231400000000001</v>
      </c>
      <c r="T18" s="30">
        <v>0.32645800000000003</v>
      </c>
      <c r="U18" s="30">
        <v>3.3061199999999999E-2</v>
      </c>
      <c r="V18" s="30">
        <v>0.247868</v>
      </c>
      <c r="W18" s="9">
        <v>4.7806700000000001E-2</v>
      </c>
      <c r="X18" s="9">
        <v>4.8819500000000002E-2</v>
      </c>
      <c r="Y18" s="9">
        <v>7.1809600000000001E-2</v>
      </c>
      <c r="Z18" s="9">
        <v>8.3653099999999994E-2</v>
      </c>
      <c r="AA18" s="9">
        <v>9.5259300000000005E-2</v>
      </c>
      <c r="AB18" s="9">
        <v>0.110932</v>
      </c>
      <c r="AC18" s="9">
        <v>0.11801499999999999</v>
      </c>
      <c r="AD18">
        <v>685</v>
      </c>
      <c r="AE18" s="109" cm="1">
        <f t="array" ref="AE18">1-SLOPE(LN(W18:AC18),LN($W$27:$AC$27))</f>
        <v>2.0699005086588445</v>
      </c>
      <c r="AF18" s="9">
        <v>8.1029000000000004E-2</v>
      </c>
      <c r="AG18" s="9">
        <v>9.3641100000000005E-2</v>
      </c>
      <c r="AH18" s="9">
        <v>0.10019699999999999</v>
      </c>
      <c r="AI18" s="9">
        <v>0.102745</v>
      </c>
      <c r="AJ18" s="9">
        <v>0.10455299999999999</v>
      </c>
      <c r="AK18">
        <v>30</v>
      </c>
      <c r="AL18" s="9" cm="1">
        <f t="array" ref="AL18">1-SLOPE(LN(AF18:AJ18),LN($AF$27:$AJ$27))</f>
        <v>1.3119539902751822</v>
      </c>
      <c r="AM18" s="6">
        <v>1148.31</v>
      </c>
      <c r="AN18" s="6">
        <v>563.05600000000004</v>
      </c>
      <c r="AO18" s="6">
        <v>421.089</v>
      </c>
      <c r="AP18" s="6">
        <v>1201.5899999999999</v>
      </c>
      <c r="AQ18" s="6">
        <v>1055.1500000000001</v>
      </c>
      <c r="AR18" s="6">
        <v>395.86</v>
      </c>
      <c r="AS18">
        <v>3002</v>
      </c>
      <c r="AT18" s="2">
        <f t="shared" si="6"/>
        <v>0.51133665262351591</v>
      </c>
      <c r="AU18" s="2">
        <f t="shared" si="7"/>
        <v>0.65204924465735514</v>
      </c>
      <c r="AV18" s="2">
        <f t="shared" si="8"/>
        <v>0.48455901163964943</v>
      </c>
      <c r="AW18" s="9" cm="1">
        <f t="array" ref="AW18">-SLOPE(LN(AM18:AO18),LN($AM$27:$AO$27))</f>
        <v>1.4772800211390469</v>
      </c>
      <c r="AX18" s="9" cm="1">
        <f t="array" ref="AX18">-SLOPE(LN(AP18:AR18),LN($AM$27:$AO$27))</f>
        <v>1.7472061454487975</v>
      </c>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row>
    <row r="19" spans="1:86" ht="15" customHeight="1">
      <c r="A19" s="20">
        <v>44342</v>
      </c>
      <c r="B19" s="20" t="s">
        <v>488</v>
      </c>
      <c r="C19" s="20" t="s">
        <v>530</v>
      </c>
      <c r="D19" s="20" t="s">
        <v>501</v>
      </c>
      <c r="E19" s="22">
        <v>44342.388888888891</v>
      </c>
      <c r="F19" s="22">
        <v>44342.416666666664</v>
      </c>
      <c r="G19" s="2">
        <v>8.5236199999999993</v>
      </c>
      <c r="H19" s="25">
        <v>1.1956100000000001</v>
      </c>
      <c r="I19" s="25">
        <v>10.4308</v>
      </c>
      <c r="J19" s="6">
        <v>1951.19</v>
      </c>
      <c r="K19" s="25">
        <v>167.02</v>
      </c>
      <c r="L19" s="25">
        <v>146.01300000000001</v>
      </c>
      <c r="M19" s="9">
        <v>29.088999999999999</v>
      </c>
      <c r="N19" s="9">
        <v>1.2263200000000001</v>
      </c>
      <c r="O19" s="9">
        <v>1.1487099999999999</v>
      </c>
      <c r="P19" s="25">
        <v>167.11199999999999</v>
      </c>
      <c r="Q19" s="25">
        <v>55.8949</v>
      </c>
      <c r="R19" s="25">
        <v>186.916</v>
      </c>
      <c r="S19" s="25">
        <v>11.6256</v>
      </c>
      <c r="T19" s="30">
        <v>24.168099999999999</v>
      </c>
      <c r="U19" s="30">
        <v>0.82672900000000005</v>
      </c>
      <c r="V19" s="30">
        <v>15.9559</v>
      </c>
      <c r="W19" s="9">
        <v>1.0997600000000001</v>
      </c>
      <c r="X19" s="9">
        <v>1.1097600000000001</v>
      </c>
      <c r="Y19" s="9">
        <v>1.4676</v>
      </c>
      <c r="Z19" s="9">
        <v>1.6974400000000001</v>
      </c>
      <c r="AA19" s="9">
        <v>1.93743</v>
      </c>
      <c r="AB19" s="9">
        <v>2.4347400000000001</v>
      </c>
      <c r="AC19" s="9">
        <v>3.4356499999999999</v>
      </c>
      <c r="AD19">
        <v>552</v>
      </c>
      <c r="AE19" s="109" cm="1">
        <f t="array" ref="AE19">1-SLOPE(LN(W19:AC19),LN($W$27:$AC$27))</f>
        <v>2.2125393562500308</v>
      </c>
      <c r="AF19" s="9">
        <v>2.0382799999999999</v>
      </c>
      <c r="AG19" s="9">
        <v>2.5434800000000002</v>
      </c>
      <c r="AH19" s="9">
        <v>2.8590100000000001</v>
      </c>
      <c r="AI19" s="9">
        <v>3.2675800000000002</v>
      </c>
      <c r="AJ19" s="9">
        <v>3.9962300000000002</v>
      </c>
      <c r="AK19">
        <v>30</v>
      </c>
      <c r="AL19" s="9" cm="1">
        <f t="array" ref="AL19">1-SLOPE(LN(AF19:AJ19),LN($AF$27:$AJ$27))</f>
        <v>1.7880144963231879</v>
      </c>
      <c r="AM19" s="6">
        <v>35607.4</v>
      </c>
      <c r="AN19" s="6">
        <v>13806.2</v>
      </c>
      <c r="AO19" s="6">
        <v>9397.3799999999992</v>
      </c>
      <c r="AP19" s="6">
        <v>101360</v>
      </c>
      <c r="AQ19" s="6">
        <v>101942</v>
      </c>
      <c r="AR19" s="6">
        <v>57995.199999999997</v>
      </c>
      <c r="AS19">
        <v>273</v>
      </c>
      <c r="AT19" s="2">
        <f t="shared" ref="AT19:AT20" si="9">AP19/(AP19+AM19)</f>
        <v>0.74003010935448876</v>
      </c>
      <c r="AU19" s="2">
        <f t="shared" ref="AU19:AU20" si="10">AQ19/(AQ19+AN19)</f>
        <v>0.88072211922086052</v>
      </c>
      <c r="AV19" s="2">
        <f t="shared" ref="AV19:AV20" si="11">AR19/(AR19+AO19)</f>
        <v>0.86055764596043061</v>
      </c>
      <c r="AW19" s="9" cm="1">
        <f t="array" ref="AW19">-SLOPE(LN(AM19:AO19),LN($AM$27:$AO$27))</f>
        <v>1.9614479147174073</v>
      </c>
      <c r="AX19" s="9" cm="1">
        <f t="array" ref="AX19">-SLOPE(LN(AP19:AR19),LN($AM$27:$AO$27))</f>
        <v>0.89065694762791137</v>
      </c>
      <c r="AY19" s="25">
        <v>105.616</v>
      </c>
      <c r="AZ19" s="2">
        <v>0.97283500000000001</v>
      </c>
      <c r="BA19" s="18">
        <v>1476200</v>
      </c>
      <c r="BB19" s="18">
        <v>582837</v>
      </c>
      <c r="BC19" s="9">
        <v>4.0670099999999998</v>
      </c>
      <c r="BD19" s="9">
        <v>3.31819</v>
      </c>
      <c r="BE19" s="9">
        <v>3.8139799999999999</v>
      </c>
      <c r="BF19" s="9">
        <v>7.7232399999999997</v>
      </c>
      <c r="BG19" s="9">
        <v>8.2065199999999994</v>
      </c>
      <c r="BH19" s="9">
        <v>5.55959</v>
      </c>
      <c r="BI19" s="9">
        <v>8.5010200000000005</v>
      </c>
      <c r="BJ19" s="9">
        <v>14.113200000000001</v>
      </c>
      <c r="BK19" s="9">
        <v>21.868300000000001</v>
      </c>
      <c r="BL19" s="9">
        <v>31.584399999999999</v>
      </c>
      <c r="BM19" s="9">
        <v>39.862099999999998</v>
      </c>
      <c r="BN19" s="9">
        <v>46.661900000000003</v>
      </c>
      <c r="BO19" s="9">
        <v>69.967799999999997</v>
      </c>
      <c r="BP19" s="9">
        <v>110.773</v>
      </c>
      <c r="BQ19" s="9">
        <v>153.07900000000001</v>
      </c>
      <c r="BR19" s="9">
        <v>196.642</v>
      </c>
      <c r="BS19" s="9">
        <v>241.14500000000001</v>
      </c>
      <c r="BT19" s="9">
        <v>286.58999999999997</v>
      </c>
      <c r="BU19" s="9">
        <v>313.86900000000003</v>
      </c>
      <c r="BV19" s="9">
        <v>323.738</v>
      </c>
      <c r="BW19" s="9">
        <v>320.58699999999999</v>
      </c>
      <c r="BX19" s="9">
        <v>304.21899999999999</v>
      </c>
      <c r="BY19" s="9">
        <v>288.81</v>
      </c>
      <c r="BZ19" s="9">
        <v>274.36099999999999</v>
      </c>
      <c r="CA19" s="9">
        <v>238.43700000000001</v>
      </c>
      <c r="CB19" s="9">
        <v>181.03700000000001</v>
      </c>
      <c r="CC19" s="9">
        <v>133.97399999999999</v>
      </c>
      <c r="CD19" s="9">
        <v>97.249799999999993</v>
      </c>
      <c r="CE19" s="9">
        <v>73.775599999999997</v>
      </c>
      <c r="CF19" s="9">
        <v>63.5518</v>
      </c>
      <c r="CG19" s="9">
        <v>54.883699999999997</v>
      </c>
      <c r="CH19" s="9">
        <v>47.7714</v>
      </c>
    </row>
    <row r="20" spans="1:86" ht="15" customHeight="1">
      <c r="A20" s="20">
        <v>44342</v>
      </c>
      <c r="B20" s="20" t="s">
        <v>488</v>
      </c>
      <c r="C20" s="20" t="s">
        <v>530</v>
      </c>
      <c r="D20" s="20" t="s">
        <v>505</v>
      </c>
      <c r="E20" s="22">
        <v>44342.418055555558</v>
      </c>
      <c r="F20" s="22">
        <v>44342.729166666664</v>
      </c>
      <c r="G20" s="2">
        <v>12.8842</v>
      </c>
      <c r="H20" s="25">
        <v>0.18128</v>
      </c>
      <c r="I20" s="25">
        <v>7.32843</v>
      </c>
      <c r="J20" s="6">
        <v>1129.29</v>
      </c>
      <c r="K20" s="25">
        <v>11.508699999999999</v>
      </c>
      <c r="L20" s="25">
        <v>25.730399999999999</v>
      </c>
      <c r="M20" s="9">
        <v>14.631</v>
      </c>
      <c r="N20" s="9">
        <v>0.892181</v>
      </c>
      <c r="O20" s="9">
        <v>0.85153299999999998</v>
      </c>
      <c r="P20" s="25">
        <v>95.753500000000003</v>
      </c>
      <c r="Q20" s="25">
        <v>209.553</v>
      </c>
      <c r="R20" s="25">
        <v>365.52300000000002</v>
      </c>
      <c r="S20" s="25">
        <v>11.8164</v>
      </c>
      <c r="T20" s="30">
        <v>0.49539800000000001</v>
      </c>
      <c r="U20" s="30">
        <v>3.78777E-2</v>
      </c>
      <c r="V20" s="30">
        <v>0.35642200000000002</v>
      </c>
      <c r="W20" s="9">
        <v>9.8994499999999999E-2</v>
      </c>
      <c r="X20" s="9">
        <v>0.100144</v>
      </c>
      <c r="Y20" s="9">
        <v>0.13717599999999999</v>
      </c>
      <c r="Z20" s="9">
        <v>0.15420600000000001</v>
      </c>
      <c r="AA20" s="9">
        <v>0.16824900000000001</v>
      </c>
      <c r="AB20" s="9">
        <v>0.19089900000000001</v>
      </c>
      <c r="AC20" s="9">
        <v>0.20675499999999999</v>
      </c>
      <c r="AD20">
        <v>559</v>
      </c>
      <c r="AE20" s="109" cm="1">
        <f t="array" ref="AE20">1-SLOPE(LN(W20:AC20),LN($W$27:$AC$27))</f>
        <v>1.8574781155807003</v>
      </c>
      <c r="AF20" s="9">
        <v>0.113443</v>
      </c>
      <c r="AG20" s="9">
        <v>0.141731</v>
      </c>
      <c r="AH20" s="9">
        <v>0.15323899999999999</v>
      </c>
      <c r="AI20" s="9">
        <v>0.158947</v>
      </c>
      <c r="AJ20" s="9">
        <v>0.16458600000000001</v>
      </c>
      <c r="AK20">
        <v>0</v>
      </c>
      <c r="AL20" s="9" cm="1">
        <f t="array" ref="AL20">1-SLOPE(LN(AF20:AJ20),LN($AF$27:$AJ$27))</f>
        <v>1.4473050998211061</v>
      </c>
      <c r="AM20" s="6">
        <v>1719.12</v>
      </c>
      <c r="AN20" s="6">
        <v>811.99300000000005</v>
      </c>
      <c r="AO20" s="6">
        <v>600.44299999999998</v>
      </c>
      <c r="AP20" s="6">
        <v>2533.4299999999998</v>
      </c>
      <c r="AQ20" s="6">
        <v>2241.19</v>
      </c>
      <c r="AR20" s="6">
        <v>835.85500000000002</v>
      </c>
      <c r="AS20">
        <v>2662</v>
      </c>
      <c r="AT20" s="2">
        <f t="shared" si="9"/>
        <v>0.59574373023244886</v>
      </c>
      <c r="AU20" s="2">
        <f t="shared" si="10"/>
        <v>0.73405033370092787</v>
      </c>
      <c r="AV20" s="2">
        <f t="shared" si="11"/>
        <v>0.58195096003754099</v>
      </c>
      <c r="AW20" s="9" cm="1">
        <f t="array" ref="AW20">-SLOPE(LN(AM20:AO20),LN($AM$27:$AO$27))</f>
        <v>1.5485114844005483</v>
      </c>
      <c r="AX20" s="9" cm="1">
        <f t="array" ref="AX20">-SLOPE(LN(AP20:AR20),LN($AM$27:$AO$27))</f>
        <v>1.7461289528417139</v>
      </c>
      <c r="AY20" s="25">
        <v>67.292599999999993</v>
      </c>
      <c r="AZ20" s="2">
        <v>1.03735</v>
      </c>
      <c r="BA20" s="18">
        <v>199319</v>
      </c>
      <c r="BB20" s="18">
        <v>129581</v>
      </c>
      <c r="BC20" s="9">
        <v>1.7284299999999999</v>
      </c>
      <c r="BD20" s="9">
        <v>1.9978100000000001</v>
      </c>
      <c r="BE20" s="9">
        <v>2.9296600000000002</v>
      </c>
      <c r="BF20" s="9">
        <v>6.0435299999999996</v>
      </c>
      <c r="BG20" s="9">
        <v>6.0132899999999996</v>
      </c>
      <c r="BH20" s="9">
        <v>2.63991</v>
      </c>
      <c r="BI20" s="9">
        <v>2.4079999999999999</v>
      </c>
      <c r="BJ20" s="9">
        <v>3.5685799999999999</v>
      </c>
      <c r="BK20" s="9">
        <v>6.03505</v>
      </c>
      <c r="BL20" s="9">
        <v>9.6389999999999993</v>
      </c>
      <c r="BM20" s="9">
        <v>13.7218</v>
      </c>
      <c r="BN20" s="9">
        <v>18.0227</v>
      </c>
      <c r="BO20" s="9">
        <v>22.2852</v>
      </c>
      <c r="BP20" s="9">
        <v>27.442</v>
      </c>
      <c r="BQ20" s="9">
        <v>32.0122</v>
      </c>
      <c r="BR20" s="9">
        <v>35.357799999999997</v>
      </c>
      <c r="BS20" s="9">
        <v>36.947899999999997</v>
      </c>
      <c r="BT20" s="9">
        <v>36.763599999999997</v>
      </c>
      <c r="BU20" s="9">
        <v>34.754300000000001</v>
      </c>
      <c r="BV20" s="9">
        <v>30.894400000000001</v>
      </c>
      <c r="BW20" s="9">
        <v>27.195499999999999</v>
      </c>
      <c r="BX20" s="9">
        <v>23.637</v>
      </c>
      <c r="BY20" s="9">
        <v>20.5685</v>
      </c>
      <c r="BZ20" s="9">
        <v>17.9939</v>
      </c>
      <c r="CA20" s="9">
        <v>14.7041</v>
      </c>
      <c r="CB20" s="9">
        <v>10.6928</v>
      </c>
      <c r="CC20" s="9">
        <v>7.4370500000000002</v>
      </c>
      <c r="CD20" s="9">
        <v>4.9357100000000003</v>
      </c>
      <c r="CE20" s="9">
        <v>3.3151899999999999</v>
      </c>
      <c r="CF20" s="9">
        <v>2.5731899999999999</v>
      </c>
      <c r="CG20" s="9">
        <v>2.0237500000000002</v>
      </c>
      <c r="CH20" s="9">
        <v>1.6653500000000001</v>
      </c>
    </row>
    <row r="21" spans="1:86" ht="15" customHeight="1">
      <c r="A21" s="20">
        <v>44343</v>
      </c>
      <c r="B21" s="20" t="s">
        <v>488</v>
      </c>
      <c r="C21" s="20" t="s">
        <v>530</v>
      </c>
      <c r="D21" s="20" t="s">
        <v>501</v>
      </c>
      <c r="E21" s="22">
        <v>44343.367361111108</v>
      </c>
      <c r="F21" s="22">
        <v>44343.402083333334</v>
      </c>
      <c r="G21" s="2">
        <v>9.3283900000000006</v>
      </c>
      <c r="H21" s="25">
        <v>0.688724</v>
      </c>
      <c r="I21" s="25">
        <v>11.167299999999999</v>
      </c>
      <c r="J21" s="6">
        <v>1899.93</v>
      </c>
      <c r="K21" s="25">
        <v>92.449299999999994</v>
      </c>
      <c r="L21" s="25">
        <v>54.931600000000003</v>
      </c>
      <c r="M21" s="9">
        <v>10.410500000000001</v>
      </c>
      <c r="N21" s="9">
        <v>1.35379</v>
      </c>
      <c r="O21" s="9">
        <v>1.2777400000000001</v>
      </c>
      <c r="P21" s="25">
        <v>147.55000000000001</v>
      </c>
      <c r="Q21" s="25">
        <v>76.7821</v>
      </c>
      <c r="R21" s="25">
        <v>62.910699999999999</v>
      </c>
      <c r="S21" s="25">
        <v>12.9558</v>
      </c>
      <c r="T21" s="30">
        <v>10.0792</v>
      </c>
      <c r="U21" s="30">
        <v>0.55193999999999999</v>
      </c>
      <c r="V21" s="30">
        <v>5.9386799999999997</v>
      </c>
      <c r="W21" s="9">
        <v>0.89046599999999998</v>
      </c>
      <c r="X21" s="9">
        <v>0.880185</v>
      </c>
      <c r="Y21" s="9">
        <v>1.1152500000000001</v>
      </c>
      <c r="Z21" s="9">
        <v>1.2498800000000001</v>
      </c>
      <c r="AA21" s="9">
        <v>1.39757</v>
      </c>
      <c r="AB21" s="9">
        <v>1.67221</v>
      </c>
      <c r="AC21" s="9">
        <v>2.2327599999999999</v>
      </c>
      <c r="AD21">
        <v>547</v>
      </c>
      <c r="AE21" s="109" cm="1">
        <f t="array" ref="AE21">1-SLOPE(LN(W21:AC21),LN($W$27:$AC$27))</f>
        <v>1.9840470324440691</v>
      </c>
      <c r="AF21" s="9">
        <v>1.04243</v>
      </c>
      <c r="AG21" s="9">
        <v>1.24864</v>
      </c>
      <c r="AH21" s="9">
        <v>1.3573599999999999</v>
      </c>
      <c r="AI21" s="9">
        <v>1.4827900000000001</v>
      </c>
      <c r="AJ21" s="9">
        <v>1.7346900000000001</v>
      </c>
      <c r="AK21">
        <v>30</v>
      </c>
      <c r="AL21" s="9" cm="1">
        <f t="array" ref="AL21">1-SLOPE(LN(AF21:AJ21),LN($AF$27:$AJ$27))</f>
        <v>1.59119935990613</v>
      </c>
      <c r="AM21" s="6">
        <v>15560.1</v>
      </c>
      <c r="AN21" s="6">
        <v>6548.39</v>
      </c>
      <c r="AO21" s="6">
        <v>4680.59</v>
      </c>
      <c r="AP21" s="6">
        <v>54202.2</v>
      </c>
      <c r="AQ21" s="6">
        <v>40480.199999999997</v>
      </c>
      <c r="AR21" s="6">
        <v>12209</v>
      </c>
      <c r="AS21">
        <v>274</v>
      </c>
      <c r="AT21" s="2">
        <f t="shared" ref="AT21:AT22" si="12">AP21/(AP21+AM21)</f>
        <v>0.77695546161752116</v>
      </c>
      <c r="AU21" s="2">
        <f t="shared" ref="AU21:AU22" si="13">AQ21/(AQ21+AN21)</f>
        <v>0.86075725425746341</v>
      </c>
      <c r="AV21" s="2">
        <f t="shared" ref="AV21:AV22" si="14">AR21/(AR21+AO21)</f>
        <v>0.72287130711876368</v>
      </c>
      <c r="AW21" s="9" cm="1">
        <f t="array" ref="AW21">-SLOPE(LN(AM21:AO21),LN($AM$27:$AO$27))</f>
        <v>1.766909584731664</v>
      </c>
      <c r="AX21" s="9" cm="1">
        <f t="array" ref="AX21">-SLOPE(LN(AP21:AR21),LN($AM$27:$AO$27))</f>
        <v>2.32549848336817</v>
      </c>
      <c r="AY21" s="25">
        <v>108.282</v>
      </c>
      <c r="AZ21" s="2">
        <v>1.20909</v>
      </c>
      <c r="BA21" s="18">
        <v>1006080</v>
      </c>
      <c r="BB21" s="18">
        <v>446764</v>
      </c>
      <c r="BC21" s="9">
        <v>2.7191299999999998</v>
      </c>
      <c r="BD21" s="9">
        <v>2.9390100000000001</v>
      </c>
      <c r="BE21" s="9">
        <v>5.0703199999999997</v>
      </c>
      <c r="BF21" s="9">
        <v>10.541700000000001</v>
      </c>
      <c r="BG21" s="9">
        <v>15.3543</v>
      </c>
      <c r="BH21" s="9">
        <v>21.275400000000001</v>
      </c>
      <c r="BI21" s="9">
        <v>29.620799999999999</v>
      </c>
      <c r="BJ21" s="9">
        <v>38.745399999999997</v>
      </c>
      <c r="BK21" s="9">
        <v>47.212200000000003</v>
      </c>
      <c r="BL21" s="9">
        <v>54.903399999999998</v>
      </c>
      <c r="BM21" s="9">
        <v>60.376899999999999</v>
      </c>
      <c r="BN21" s="9">
        <v>63.601500000000001</v>
      </c>
      <c r="BO21" s="9">
        <v>70.418700000000001</v>
      </c>
      <c r="BP21" s="9">
        <v>80.721400000000003</v>
      </c>
      <c r="BQ21" s="9">
        <v>91.6858</v>
      </c>
      <c r="BR21" s="9">
        <v>103.499</v>
      </c>
      <c r="BS21" s="9">
        <v>115.354</v>
      </c>
      <c r="BT21" s="9">
        <v>127.17700000000001</v>
      </c>
      <c r="BU21" s="9">
        <v>136.76400000000001</v>
      </c>
      <c r="BV21" s="9">
        <v>145.96100000000001</v>
      </c>
      <c r="BW21" s="9">
        <v>153.00700000000001</v>
      </c>
      <c r="BX21" s="9">
        <v>157.733</v>
      </c>
      <c r="BY21" s="9">
        <v>160.67599999999999</v>
      </c>
      <c r="BZ21" s="9">
        <v>161.83699999999999</v>
      </c>
      <c r="CA21" s="9">
        <v>148.047</v>
      </c>
      <c r="CB21" s="9">
        <v>119.307</v>
      </c>
      <c r="CC21" s="9">
        <v>91.898099999999999</v>
      </c>
      <c r="CD21" s="9">
        <v>65.819299999999998</v>
      </c>
      <c r="CE21" s="9">
        <v>48.169499999999999</v>
      </c>
      <c r="CF21" s="9">
        <v>38.948599999999999</v>
      </c>
      <c r="CG21" s="9">
        <v>31.708300000000001</v>
      </c>
      <c r="CH21" s="9">
        <v>26.448499999999999</v>
      </c>
    </row>
    <row r="22" spans="1:86" ht="15" customHeight="1">
      <c r="A22" s="20">
        <v>44343</v>
      </c>
      <c r="B22" s="20" t="s">
        <v>488</v>
      </c>
      <c r="C22" s="20" t="s">
        <v>530</v>
      </c>
      <c r="D22" s="20" t="s">
        <v>505</v>
      </c>
      <c r="E22" s="22">
        <v>44343.403819444444</v>
      </c>
      <c r="F22" s="22">
        <v>44343.740972222222</v>
      </c>
      <c r="G22" s="2">
        <v>12.942600000000001</v>
      </c>
      <c r="H22" s="25">
        <v>0.14152600000000001</v>
      </c>
      <c r="I22" s="25">
        <v>7.8463200000000004</v>
      </c>
      <c r="J22" s="6">
        <v>1047.93</v>
      </c>
      <c r="K22" s="25">
        <v>7.7521800000000001</v>
      </c>
      <c r="L22" s="25">
        <v>20.703700000000001</v>
      </c>
      <c r="M22" s="9">
        <v>13.0564</v>
      </c>
      <c r="N22" s="9">
        <v>0.85555899999999996</v>
      </c>
      <c r="O22" s="9">
        <v>0.82164599999999999</v>
      </c>
      <c r="P22" s="25">
        <v>80.929699999999997</v>
      </c>
      <c r="Q22" s="25">
        <v>218.624</v>
      </c>
      <c r="R22" s="25">
        <v>209.755</v>
      </c>
      <c r="S22" s="25">
        <v>12.9352</v>
      </c>
      <c r="T22" s="30">
        <v>0.451324</v>
      </c>
      <c r="U22" s="30">
        <v>2.0217400000000002E-3</v>
      </c>
      <c r="V22" s="30">
        <v>0.31090299999999998</v>
      </c>
      <c r="W22" s="9">
        <v>5.9507699999999997E-2</v>
      </c>
      <c r="X22" s="9">
        <v>5.9863699999999999E-2</v>
      </c>
      <c r="Y22" s="9">
        <v>8.0723900000000001E-2</v>
      </c>
      <c r="Z22" s="9">
        <v>9.2556700000000006E-2</v>
      </c>
      <c r="AA22" s="9">
        <v>0.103212</v>
      </c>
      <c r="AB22" s="9">
        <v>0.11824800000000001</v>
      </c>
      <c r="AC22" s="9">
        <v>0.12514600000000001</v>
      </c>
      <c r="AD22">
        <v>507</v>
      </c>
      <c r="AE22" s="109" cm="1">
        <f t="array" ref="AE22">1-SLOPE(LN(W22:AC22),LN($W$27:$AC$27))</f>
        <v>1.8837975290400104</v>
      </c>
      <c r="AF22" s="9">
        <v>9.1171299999999997E-2</v>
      </c>
      <c r="AG22" s="9">
        <v>0.11493299999999999</v>
      </c>
      <c r="AH22" s="9">
        <v>0.12363</v>
      </c>
      <c r="AI22" s="9">
        <v>0.13009200000000001</v>
      </c>
      <c r="AJ22" s="9">
        <v>0.13316600000000001</v>
      </c>
      <c r="AK22">
        <v>30</v>
      </c>
      <c r="AL22" s="9" cm="1">
        <f t="array" ref="AL22">1-SLOPE(LN(AF22:AJ22),LN($AF$27:$AJ$27))</f>
        <v>1.4584633678034147</v>
      </c>
      <c r="AM22" s="6">
        <v>1239.8699999999999</v>
      </c>
      <c r="AN22" s="6">
        <v>596.45600000000002</v>
      </c>
      <c r="AO22" s="6">
        <v>432.44900000000001</v>
      </c>
      <c r="AP22" s="6">
        <v>1998.88</v>
      </c>
      <c r="AQ22" s="6">
        <v>1720.67</v>
      </c>
      <c r="AR22" s="6">
        <v>651.70299999999997</v>
      </c>
      <c r="AS22">
        <v>2868</v>
      </c>
      <c r="AT22" s="2">
        <f t="shared" si="12"/>
        <v>0.61717637977614825</v>
      </c>
      <c r="AU22" s="2">
        <f t="shared" si="13"/>
        <v>0.74258801636164795</v>
      </c>
      <c r="AV22" s="2">
        <f t="shared" si="14"/>
        <v>0.60111773994790396</v>
      </c>
      <c r="AW22" s="9" cm="1">
        <f t="array" ref="AW22">-SLOPE(LN(AM22:AO22),LN($AM$27:$AO$27))</f>
        <v>1.5538569258075634</v>
      </c>
      <c r="AX22" s="9" cm="1">
        <f t="array" ref="AX22">-SLOPE(LN(AP22:AR22),LN($AM$27:$AO$27))</f>
        <v>1.7604097047906972</v>
      </c>
      <c r="AY22" s="25">
        <v>77.789500000000004</v>
      </c>
      <c r="AZ22" s="2">
        <v>1.0067200000000001</v>
      </c>
      <c r="BA22" s="18">
        <v>162573</v>
      </c>
      <c r="BB22" s="18">
        <v>99897.1</v>
      </c>
      <c r="BC22" s="9">
        <v>2.79772</v>
      </c>
      <c r="BD22" s="9">
        <v>2.9220199999999998</v>
      </c>
      <c r="BE22" s="9">
        <v>4.5345300000000002</v>
      </c>
      <c r="BF22" s="9">
        <v>9.1277899999999992</v>
      </c>
      <c r="BG22" s="9">
        <v>9.3595900000000007</v>
      </c>
      <c r="BH22" s="9">
        <v>4.6898799999999996</v>
      </c>
      <c r="BI22" s="9">
        <v>3.80837</v>
      </c>
      <c r="BJ22" s="9">
        <v>5.0226899999999999</v>
      </c>
      <c r="BK22" s="9">
        <v>6.25631</v>
      </c>
      <c r="BL22" s="9">
        <v>7.3592300000000002</v>
      </c>
      <c r="BM22" s="9">
        <v>8.7886699999999998</v>
      </c>
      <c r="BN22" s="9">
        <v>10.2212</v>
      </c>
      <c r="BO22" s="9">
        <v>12.820499999999999</v>
      </c>
      <c r="BP22" s="9">
        <v>16.6813</v>
      </c>
      <c r="BQ22" s="9">
        <v>20.163399999999999</v>
      </c>
      <c r="BR22" s="9">
        <v>23.136700000000001</v>
      </c>
      <c r="BS22" s="9">
        <v>25.476700000000001</v>
      </c>
      <c r="BT22" s="9">
        <v>27.180900000000001</v>
      </c>
      <c r="BU22" s="9">
        <v>27.2363</v>
      </c>
      <c r="BV22" s="9">
        <v>25.642199999999999</v>
      </c>
      <c r="BW22" s="9">
        <v>23.482600000000001</v>
      </c>
      <c r="BX22" s="9">
        <v>20.757400000000001</v>
      </c>
      <c r="BY22" s="9">
        <v>18.337199999999999</v>
      </c>
      <c r="BZ22" s="9">
        <v>16.222100000000001</v>
      </c>
      <c r="CA22" s="9">
        <v>13.254899999999999</v>
      </c>
      <c r="CB22" s="9">
        <v>9.4354600000000008</v>
      </c>
      <c r="CC22" s="9">
        <v>6.3689900000000002</v>
      </c>
      <c r="CD22" s="9">
        <v>4.0554500000000004</v>
      </c>
      <c r="CE22" s="9">
        <v>2.5714700000000001</v>
      </c>
      <c r="CF22" s="9">
        <v>1.91709</v>
      </c>
      <c r="CG22" s="9">
        <v>1.4493499999999999</v>
      </c>
      <c r="CH22" s="9">
        <v>1.1672499999999999</v>
      </c>
    </row>
    <row r="23" spans="1:86" ht="15" customHeight="1">
      <c r="A23" s="20">
        <v>44348</v>
      </c>
      <c r="B23" s="20" t="s">
        <v>488</v>
      </c>
      <c r="C23" s="20" t="s">
        <v>530</v>
      </c>
      <c r="D23" s="20" t="s">
        <v>501</v>
      </c>
      <c r="E23" s="22">
        <v>44348.375694444447</v>
      </c>
      <c r="F23" s="22">
        <v>44348.38958333333</v>
      </c>
      <c r="G23" s="2">
        <v>11.268800000000001</v>
      </c>
      <c r="H23" s="25">
        <v>0.59109900000000004</v>
      </c>
      <c r="I23" s="25">
        <v>9.2395399999999999</v>
      </c>
      <c r="J23" s="6">
        <v>2986.97</v>
      </c>
      <c r="K23" s="25">
        <v>101.94799999999999</v>
      </c>
      <c r="L23" s="25">
        <v>47.512700000000002</v>
      </c>
      <c r="M23" s="9">
        <v>12.042999999999999</v>
      </c>
      <c r="N23" s="9">
        <v>2.4124599999999998</v>
      </c>
      <c r="O23" s="9">
        <v>2.2035100000000001</v>
      </c>
      <c r="P23" s="25">
        <v>200.46799999999999</v>
      </c>
      <c r="Q23" s="25">
        <v>54.898000000000003</v>
      </c>
      <c r="R23" s="25">
        <v>50.606900000000003</v>
      </c>
      <c r="S23" s="25">
        <v>14.8957</v>
      </c>
      <c r="T23" s="30">
        <v>7.7102399999999998</v>
      </c>
      <c r="U23" s="30">
        <v>1.06037</v>
      </c>
      <c r="V23" s="30">
        <v>3.9273199999999999</v>
      </c>
      <c r="W23" s="9">
        <v>2.1139100000000002</v>
      </c>
      <c r="X23" s="9">
        <v>2.0811799999999998</v>
      </c>
      <c r="Y23" s="9">
        <v>2.3938299999999999</v>
      </c>
      <c r="Z23" s="9">
        <v>2.65089</v>
      </c>
      <c r="AA23" s="9">
        <v>2.9151899999999999</v>
      </c>
      <c r="AB23" s="9">
        <v>3.3404600000000002</v>
      </c>
      <c r="AC23" s="9">
        <v>3.63063</v>
      </c>
      <c r="AD23">
        <v>283</v>
      </c>
      <c r="AE23" s="109" cm="1">
        <f t="array" ref="AE23">1-SLOPE(LN(W23:AC23),LN($W$27:$AC$27))</f>
        <v>1.6302906128082721</v>
      </c>
      <c r="AF23" s="9">
        <v>2.07212</v>
      </c>
      <c r="AG23" s="9">
        <v>2.50258</v>
      </c>
      <c r="AH23" s="9">
        <v>2.7496299999999998</v>
      </c>
      <c r="AI23" s="9">
        <v>2.9885199999999998</v>
      </c>
      <c r="AJ23" s="9">
        <v>3.1855199999999999</v>
      </c>
      <c r="AK23">
        <v>0</v>
      </c>
      <c r="AL23" s="9" cm="1">
        <f t="array" ref="AL23">1-SLOPE(LN(AF23:AJ23),LN($AF$27:$AJ$27))</f>
        <v>1.5215296365685025</v>
      </c>
      <c r="AM23" s="6">
        <v>27724</v>
      </c>
      <c r="AN23" s="6">
        <v>13327.6</v>
      </c>
      <c r="AO23" s="6">
        <v>10275.5</v>
      </c>
      <c r="AP23" s="6">
        <v>30147.7</v>
      </c>
      <c r="AQ23" s="6">
        <v>25433.9</v>
      </c>
      <c r="AR23" s="6">
        <v>8159.03</v>
      </c>
      <c r="AS23">
        <v>136</v>
      </c>
      <c r="AT23" s="2">
        <f t="shared" ref="AT23:AT24" si="15">AP23/(AP23+AM23)</f>
        <v>0.52094028687596883</v>
      </c>
      <c r="AU23" s="2">
        <f t="shared" ref="AU23:AU24" si="16">AQ23/(AQ23+AN23)</f>
        <v>0.65616397714226748</v>
      </c>
      <c r="AV23" s="2">
        <f t="shared" ref="AV23:AV24" si="17">AR23/(AR23+AO23)</f>
        <v>0.4425949563129627</v>
      </c>
      <c r="AW23" s="9" cm="1">
        <f t="array" ref="AW23">-SLOPE(LN(AM23:AO23),LN($AM$27:$AO$27))</f>
        <v>1.4569134298243471</v>
      </c>
      <c r="AX23" s="9" cm="1">
        <f t="array" ref="AX23">-SLOPE(LN(AP23:AR23),LN($AM$27:$AO$27))</f>
        <v>2.053737046547266</v>
      </c>
      <c r="AY23" s="25">
        <v>89.163499999999999</v>
      </c>
      <c r="AZ23" s="2">
        <v>1.0439000000000001</v>
      </c>
      <c r="BA23" s="18">
        <v>1967510</v>
      </c>
      <c r="BB23" s="18">
        <v>993813</v>
      </c>
      <c r="BC23" s="9">
        <v>4.0312700000000001</v>
      </c>
      <c r="BD23" s="9">
        <v>1.1658500000000001</v>
      </c>
      <c r="BE23" s="9">
        <v>2.2513100000000001</v>
      </c>
      <c r="BF23" s="9">
        <v>11.9985</v>
      </c>
      <c r="BG23" s="9">
        <v>16.287500000000001</v>
      </c>
      <c r="BH23" s="9">
        <v>19.060300000000002</v>
      </c>
      <c r="BI23" s="9">
        <v>28.572199999999999</v>
      </c>
      <c r="BJ23" s="9">
        <v>42.594200000000001</v>
      </c>
      <c r="BK23" s="9">
        <v>59.258099999999999</v>
      </c>
      <c r="BL23" s="9">
        <v>78.282600000000002</v>
      </c>
      <c r="BM23" s="9">
        <v>95.294600000000003</v>
      </c>
      <c r="BN23" s="9">
        <v>110.158</v>
      </c>
      <c r="BO23" s="9">
        <v>134.833</v>
      </c>
      <c r="BP23" s="9">
        <v>169.411</v>
      </c>
      <c r="BQ23" s="9">
        <v>203.48</v>
      </c>
      <c r="BR23" s="9">
        <v>237.02799999999999</v>
      </c>
      <c r="BS23" s="9">
        <v>267.649</v>
      </c>
      <c r="BT23" s="9">
        <v>295.34399999999999</v>
      </c>
      <c r="BU23" s="9">
        <v>309.976</v>
      </c>
      <c r="BV23" s="9">
        <v>311.54300000000001</v>
      </c>
      <c r="BW23" s="9">
        <v>302.82400000000001</v>
      </c>
      <c r="BX23" s="9">
        <v>283.81900000000002</v>
      </c>
      <c r="BY23" s="9">
        <v>262.97899999999998</v>
      </c>
      <c r="BZ23" s="9">
        <v>240.30600000000001</v>
      </c>
      <c r="CA23" s="9">
        <v>202.739</v>
      </c>
      <c r="CB23" s="9">
        <v>150.279</v>
      </c>
      <c r="CC23" s="9">
        <v>105.32599999999999</v>
      </c>
      <c r="CD23" s="9">
        <v>67.881699999999995</v>
      </c>
      <c r="CE23" s="9">
        <v>43.340899999999998</v>
      </c>
      <c r="CF23" s="9">
        <v>31.703199999999999</v>
      </c>
      <c r="CG23" s="9">
        <v>23.367000000000001</v>
      </c>
      <c r="CH23" s="9">
        <v>18.3324</v>
      </c>
    </row>
    <row r="24" spans="1:86" ht="15" customHeight="1">
      <c r="A24" s="20">
        <v>44348</v>
      </c>
      <c r="B24" s="20" t="s">
        <v>488</v>
      </c>
      <c r="C24" s="20" t="s">
        <v>530</v>
      </c>
      <c r="D24" s="20" t="s">
        <v>504</v>
      </c>
      <c r="E24" s="22">
        <v>44348.390972222223</v>
      </c>
      <c r="F24" s="22">
        <v>44348.540972222225</v>
      </c>
      <c r="G24" s="2">
        <v>12.6692</v>
      </c>
      <c r="H24" s="25">
        <v>0.22531799999999999</v>
      </c>
      <c r="I24" s="25">
        <v>8.0125700000000002</v>
      </c>
      <c r="J24" s="6">
        <v>1494.19</v>
      </c>
      <c r="K24" s="25">
        <v>25.254300000000001</v>
      </c>
      <c r="L24" s="25">
        <v>32.2224</v>
      </c>
      <c r="M24" s="9">
        <v>13.388299999999999</v>
      </c>
      <c r="N24" s="9">
        <v>1.20038</v>
      </c>
      <c r="O24" s="9">
        <v>1.16466</v>
      </c>
      <c r="P24" s="25">
        <v>75.350899999999996</v>
      </c>
      <c r="Q24" s="25">
        <v>121.374</v>
      </c>
      <c r="R24" s="25">
        <v>81.200699999999998</v>
      </c>
      <c r="S24" s="25">
        <v>20.0365</v>
      </c>
      <c r="T24" s="30">
        <v>2.68513</v>
      </c>
      <c r="U24" s="30">
        <v>0.19944100000000001</v>
      </c>
      <c r="V24" s="30">
        <v>1.40113</v>
      </c>
      <c r="W24" s="9">
        <v>0.39700299999999999</v>
      </c>
      <c r="X24" s="9">
        <v>0.395621</v>
      </c>
      <c r="Y24" s="9">
        <v>0.49374499999999999</v>
      </c>
      <c r="Z24" s="9">
        <v>0.53740399999999999</v>
      </c>
      <c r="AA24" s="9">
        <v>0.57491899999999996</v>
      </c>
      <c r="AB24" s="9">
        <v>0.64307599999999998</v>
      </c>
      <c r="AC24" s="9">
        <v>0.744977</v>
      </c>
      <c r="AD24">
        <v>562</v>
      </c>
      <c r="AE24" s="109" cm="1">
        <f t="array" ref="AE24">1-SLOPE(LN(W24:AC24),LN($W$27:$AC$27))</f>
        <v>1.6979166085118724</v>
      </c>
      <c r="AF24" s="9">
        <v>0.46104699999999998</v>
      </c>
      <c r="AG24" s="9">
        <v>0.50781100000000001</v>
      </c>
      <c r="AH24" s="9">
        <v>0.51597099999999996</v>
      </c>
      <c r="AI24" s="9">
        <v>0.53176100000000004</v>
      </c>
      <c r="AJ24" s="9">
        <v>0.53967299999999996</v>
      </c>
      <c r="AK24">
        <v>1</v>
      </c>
      <c r="AL24" s="9" cm="1">
        <f t="array" ref="AL24">1-SLOPE(LN(AF24:AJ24),LN($AF$27:$AJ$27))</f>
        <v>1.1869528786065542</v>
      </c>
      <c r="AM24" s="6">
        <v>4817.33</v>
      </c>
      <c r="AN24" s="6">
        <v>2233.9299999999998</v>
      </c>
      <c r="AO24" s="6">
        <v>1737.42</v>
      </c>
      <c r="AP24" s="6">
        <v>12917.6</v>
      </c>
      <c r="AQ24" s="6">
        <v>10256</v>
      </c>
      <c r="AR24" s="6">
        <v>3743.57</v>
      </c>
      <c r="AS24">
        <v>1296</v>
      </c>
      <c r="AT24" s="2">
        <f t="shared" si="15"/>
        <v>0.72837050949735915</v>
      </c>
      <c r="AU24" s="2">
        <f t="shared" si="16"/>
        <v>0.82114151160174631</v>
      </c>
      <c r="AV24" s="2">
        <f t="shared" si="17"/>
        <v>0.68300982121842957</v>
      </c>
      <c r="AW24" s="9" cm="1">
        <f t="array" ref="AW24">-SLOPE(LN(AM24:AO24),LN($AM$27:$AO$27))</f>
        <v>1.4942601721945563</v>
      </c>
      <c r="AX24" s="9" cm="1">
        <f t="array" ref="AX24">-SLOPE(LN(AP24:AR24),LN($AM$27:$AO$27))</f>
        <v>1.9343557821730351</v>
      </c>
      <c r="AY24" s="25">
        <v>91.999899999999997</v>
      </c>
      <c r="AZ24" s="2">
        <v>1.20947</v>
      </c>
      <c r="BA24" s="18">
        <v>313651</v>
      </c>
      <c r="BB24" s="18">
        <v>163767</v>
      </c>
      <c r="BC24" s="9">
        <v>3.39066</v>
      </c>
      <c r="BD24" s="9">
        <v>0.62074300000000004</v>
      </c>
      <c r="BE24" s="9">
        <v>2.1821999999999999</v>
      </c>
      <c r="BF24" s="9">
        <v>14.224500000000001</v>
      </c>
      <c r="BG24" s="9">
        <v>16.7149</v>
      </c>
      <c r="BH24" s="9">
        <v>7.2618900000000002</v>
      </c>
      <c r="BI24" s="9">
        <v>3.3191799999999998</v>
      </c>
      <c r="BJ24" s="9">
        <v>3.3740700000000001</v>
      </c>
      <c r="BK24" s="9">
        <v>4.0052599999999998</v>
      </c>
      <c r="BL24" s="9">
        <v>4.98353</v>
      </c>
      <c r="BM24" s="9">
        <v>7.0634300000000003</v>
      </c>
      <c r="BN24" s="9">
        <v>10.0527</v>
      </c>
      <c r="BO24" s="9">
        <v>14.404</v>
      </c>
      <c r="BP24" s="9">
        <v>20.266300000000001</v>
      </c>
      <c r="BQ24" s="9">
        <v>24.950800000000001</v>
      </c>
      <c r="BR24" s="9">
        <v>28.345300000000002</v>
      </c>
      <c r="BS24" s="9">
        <v>30.162500000000001</v>
      </c>
      <c r="BT24" s="9">
        <v>30.424900000000001</v>
      </c>
      <c r="BU24" s="9">
        <v>29.692299999999999</v>
      </c>
      <c r="BV24" s="9">
        <v>28.171600000000002</v>
      </c>
      <c r="BW24" s="9">
        <v>27.306799999999999</v>
      </c>
      <c r="BX24" s="9">
        <v>27.092700000000001</v>
      </c>
      <c r="BY24" s="9">
        <v>27.021000000000001</v>
      </c>
      <c r="BZ24" s="9">
        <v>27.091100000000001</v>
      </c>
      <c r="CA24" s="9">
        <v>24.7913</v>
      </c>
      <c r="CB24" s="9">
        <v>20.121600000000001</v>
      </c>
      <c r="CC24" s="9">
        <v>15.6075</v>
      </c>
      <c r="CD24" s="9">
        <v>11.2491</v>
      </c>
      <c r="CE24" s="9">
        <v>8.2995300000000007</v>
      </c>
      <c r="CF24" s="9">
        <v>6.7632700000000003</v>
      </c>
      <c r="CG24" s="9">
        <v>5.5697700000000001</v>
      </c>
      <c r="CH24" s="9">
        <v>4.70038</v>
      </c>
    </row>
    <row r="25" spans="1:86" s="71" customFormat="1" ht="15" customHeight="1">
      <c r="A25" s="70">
        <v>44351</v>
      </c>
      <c r="B25" s="70" t="s">
        <v>488</v>
      </c>
      <c r="C25" s="70" t="s">
        <v>531</v>
      </c>
      <c r="D25" s="128" t="s">
        <v>528</v>
      </c>
      <c r="E25" s="127">
        <v>44351.373611111114</v>
      </c>
      <c r="F25" s="127">
        <v>44351.540277777778</v>
      </c>
      <c r="G25" s="78">
        <v>4.08805E-2</v>
      </c>
      <c r="H25" s="118">
        <v>9.4410099999999997E-3</v>
      </c>
      <c r="I25" s="118">
        <v>21.068999999999999</v>
      </c>
      <c r="J25" s="124">
        <v>442.53399999999999</v>
      </c>
      <c r="K25" s="118">
        <v>-0.61384799999999995</v>
      </c>
      <c r="L25" s="118">
        <v>2.5526200000000001</v>
      </c>
      <c r="M25" s="73">
        <v>1.82853</v>
      </c>
      <c r="N25" s="73">
        <v>4.9246600000000001E-2</v>
      </c>
      <c r="O25" s="73">
        <v>4.2708799999999998E-2</v>
      </c>
      <c r="P25" s="118">
        <v>21.468299999999999</v>
      </c>
      <c r="Q25" s="118">
        <v>1.8388500000000001</v>
      </c>
      <c r="R25" s="118">
        <v>11.4238</v>
      </c>
      <c r="S25" s="118">
        <v>20.608899999999998</v>
      </c>
      <c r="T25" s="119">
        <v>8.3183700000000003E-3</v>
      </c>
      <c r="U25" s="119">
        <v>0</v>
      </c>
      <c r="V25" s="119">
        <v>0</v>
      </c>
      <c r="W25" s="73">
        <v>5.4662199999999997E-4</v>
      </c>
      <c r="X25" s="73">
        <v>1.9965099999999999E-4</v>
      </c>
      <c r="Y25" s="73">
        <v>9.4036100000000002E-4</v>
      </c>
      <c r="Z25" s="73">
        <v>2.0302599999999999E-3</v>
      </c>
      <c r="AA25" s="73">
        <v>3.4159400000000002E-4</v>
      </c>
      <c r="AB25" s="73">
        <v>4.0234800000000002E-4</v>
      </c>
      <c r="AC25" s="73">
        <v>8.8633899999999999E-4</v>
      </c>
      <c r="AD25" s="71">
        <v>265</v>
      </c>
      <c r="AE25" s="78"/>
      <c r="AF25" s="73">
        <v>2.7491099999999999E-3</v>
      </c>
      <c r="AG25" s="73">
        <v>-1.05302E-3</v>
      </c>
      <c r="AH25" s="73">
        <v>-1.4324400000000001E-3</v>
      </c>
      <c r="AI25" s="73">
        <v>-1.77987E-3</v>
      </c>
      <c r="AJ25" s="73">
        <v>2.5778200000000002E-3</v>
      </c>
      <c r="AK25" s="71">
        <v>1</v>
      </c>
      <c r="AL25" s="78"/>
      <c r="AM25" s="124">
        <v>-29.9025</v>
      </c>
      <c r="AN25" s="124">
        <v>-2.6685099999999999</v>
      </c>
      <c r="AO25" s="124">
        <v>27.028199999999998</v>
      </c>
      <c r="AP25" s="124">
        <v>-3.1000800000000002</v>
      </c>
      <c r="AQ25" s="124">
        <v>4.0532199999999996</v>
      </c>
      <c r="AR25" s="124">
        <v>4.4191700000000003</v>
      </c>
      <c r="AS25" s="71">
        <v>1433</v>
      </c>
      <c r="AT25" s="78"/>
      <c r="AU25" s="78"/>
      <c r="AV25" s="78"/>
      <c r="AW25" s="78"/>
      <c r="AX25" s="78"/>
      <c r="AY25" s="118">
        <v>1014.12</v>
      </c>
      <c r="AZ25" s="78">
        <v>0.50477000000000005</v>
      </c>
      <c r="BA25" s="125">
        <v>27355.9</v>
      </c>
      <c r="BB25" s="125">
        <v>26964.1</v>
      </c>
      <c r="BC25" s="73">
        <v>1.10622</v>
      </c>
      <c r="BD25" s="73">
        <v>1.57124</v>
      </c>
      <c r="BE25" s="73">
        <v>3.6110899999999999</v>
      </c>
      <c r="BF25" s="73">
        <v>9.6456199999999992</v>
      </c>
      <c r="BG25" s="73">
        <v>9.9338999999999995</v>
      </c>
      <c r="BH25" s="73">
        <v>3.7429299999999999</v>
      </c>
      <c r="BI25" s="73">
        <v>1.7417</v>
      </c>
      <c r="BJ25" s="73">
        <v>1.64775</v>
      </c>
      <c r="BK25" s="73">
        <v>1.6782999999999999</v>
      </c>
      <c r="BL25" s="73">
        <v>1.38568</v>
      </c>
      <c r="BM25" s="73">
        <v>1.30141</v>
      </c>
      <c r="BN25" s="73">
        <v>1.08416</v>
      </c>
      <c r="BO25" s="73">
        <v>0.89022299999999999</v>
      </c>
      <c r="BP25" s="73">
        <v>0.48093399999999997</v>
      </c>
      <c r="BQ25" s="73">
        <v>0.29730800000000002</v>
      </c>
      <c r="BR25" s="73">
        <v>0.19370699999999999</v>
      </c>
      <c r="BS25" s="73">
        <v>0.18487400000000001</v>
      </c>
      <c r="BT25" s="73">
        <v>0.19600999999999999</v>
      </c>
      <c r="BU25" s="73">
        <v>0.196384</v>
      </c>
      <c r="BV25" s="73">
        <v>0.105937</v>
      </c>
      <c r="BW25" s="73">
        <v>8.5094000000000003E-2</v>
      </c>
      <c r="BX25" s="73">
        <v>7.0076899999999998E-2</v>
      </c>
      <c r="BY25" s="73">
        <v>7.1366200000000005E-2</v>
      </c>
      <c r="BZ25" s="73">
        <v>7.5027800000000006E-2</v>
      </c>
      <c r="CA25" s="73">
        <v>7.5915200000000002E-2</v>
      </c>
      <c r="CB25" s="73">
        <v>4.85161E-2</v>
      </c>
      <c r="CC25" s="73">
        <v>3.0989300000000001E-2</v>
      </c>
      <c r="CD25" s="73">
        <v>1.45744E-2</v>
      </c>
      <c r="CE25" s="73">
        <v>6.8903200000000001E-3</v>
      </c>
      <c r="CF25" s="73">
        <v>3.5844700000000002E-3</v>
      </c>
      <c r="CG25" s="73">
        <v>3.0859699999999999E-3</v>
      </c>
      <c r="CH25" s="73">
        <v>2.9852500000000001E-3</v>
      </c>
    </row>
    <row r="26" spans="1:86" ht="15" customHeight="1">
      <c r="A26" s="20"/>
      <c r="B26" s="20"/>
      <c r="C26" s="20"/>
      <c r="D26" s="20"/>
      <c r="E26" s="22"/>
      <c r="F26" s="22"/>
      <c r="G26" s="2"/>
      <c r="H26" s="25"/>
      <c r="I26" s="25"/>
      <c r="J26" s="6"/>
      <c r="K26" s="25"/>
      <c r="L26" s="25"/>
      <c r="M26" s="9"/>
      <c r="N26" s="9"/>
      <c r="O26" s="9"/>
      <c r="P26" s="25"/>
      <c r="Q26" s="25"/>
      <c r="R26" s="25"/>
      <c r="S26" s="25"/>
      <c r="T26" s="9"/>
      <c r="U26" s="30"/>
      <c r="V26" s="30"/>
      <c r="AE26" s="7"/>
      <c r="AL26" s="2"/>
      <c r="AM26" s="6"/>
      <c r="AN26" s="6"/>
      <c r="AO26" s="6"/>
      <c r="AP26" s="6"/>
      <c r="AQ26" s="6"/>
      <c r="AR26" s="6"/>
      <c r="AT26" s="2"/>
      <c r="AU26" s="2"/>
      <c r="AV26" s="2"/>
      <c r="AW26" s="2"/>
      <c r="AX26" s="2"/>
      <c r="AY26" s="25"/>
      <c r="AZ26" s="2"/>
      <c r="BA26" s="18"/>
      <c r="BB26" s="18"/>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row>
    <row r="27" spans="1:86" ht="15" customHeight="1">
      <c r="A27" s="20"/>
      <c r="B27" s="20"/>
      <c r="C27" s="20"/>
      <c r="D27" s="20"/>
      <c r="E27" s="22"/>
      <c r="F27" s="22"/>
      <c r="G27" s="2"/>
      <c r="H27" s="25"/>
      <c r="I27" s="25"/>
      <c r="J27" s="6"/>
      <c r="K27" s="25"/>
      <c r="L27" s="25"/>
      <c r="M27" s="9"/>
      <c r="N27" s="9"/>
      <c r="O27" s="9"/>
      <c r="P27" s="25"/>
      <c r="Q27" s="25"/>
      <c r="R27" s="25"/>
      <c r="S27" s="25"/>
      <c r="T27" s="9"/>
      <c r="U27" s="30"/>
      <c r="V27" s="30" t="s">
        <v>532</v>
      </c>
      <c r="W27" s="1">
        <v>950</v>
      </c>
      <c r="X27" s="1">
        <v>880</v>
      </c>
      <c r="Y27" s="1">
        <v>660</v>
      </c>
      <c r="Z27" s="1">
        <v>590</v>
      </c>
      <c r="AA27" s="1">
        <v>520</v>
      </c>
      <c r="AB27" s="1">
        <v>470</v>
      </c>
      <c r="AC27" s="1">
        <v>370</v>
      </c>
      <c r="AE27" s="7"/>
      <c r="AF27" s="1">
        <v>880</v>
      </c>
      <c r="AG27" s="1">
        <v>625</v>
      </c>
      <c r="AH27" s="1">
        <v>528</v>
      </c>
      <c r="AI27" s="1">
        <v>470</v>
      </c>
      <c r="AJ27" s="1">
        <v>375</v>
      </c>
      <c r="AL27" s="2"/>
      <c r="AM27" s="8">
        <v>405</v>
      </c>
      <c r="AN27" s="8">
        <v>532</v>
      </c>
      <c r="AO27" s="8">
        <v>781</v>
      </c>
      <c r="AP27" s="6"/>
      <c r="AQ27" s="6"/>
      <c r="AR27" s="6"/>
      <c r="AT27" s="2"/>
      <c r="AU27" s="2"/>
      <c r="AV27" s="2"/>
      <c r="AW27" s="2"/>
      <c r="AX27" s="2"/>
      <c r="AY27" s="25"/>
      <c r="AZ27" s="2"/>
      <c r="BA27" s="18"/>
      <c r="BB27" s="18"/>
      <c r="BC27" s="161" t="s">
        <v>486</v>
      </c>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row>
    <row r="28" spans="1:86" ht="15" customHeight="1">
      <c r="A28" s="20"/>
      <c r="B28" s="20"/>
      <c r="C28" s="20"/>
      <c r="D28" s="20"/>
      <c r="E28" s="22"/>
      <c r="F28" s="22"/>
      <c r="G28" s="2"/>
      <c r="H28" s="25"/>
      <c r="I28" s="25"/>
      <c r="J28" s="6"/>
      <c r="K28" s="25"/>
      <c r="L28" s="25"/>
      <c r="M28" s="9"/>
      <c r="N28" s="9"/>
      <c r="O28" s="9"/>
      <c r="P28" s="25"/>
      <c r="Q28" s="25"/>
      <c r="R28" s="25"/>
      <c r="S28" s="25"/>
      <c r="T28" s="9"/>
      <c r="U28" s="30"/>
      <c r="V28" s="30"/>
      <c r="AE28" s="7"/>
      <c r="AL28" s="2"/>
      <c r="AM28" s="6"/>
      <c r="AN28" s="6"/>
      <c r="AO28" s="6"/>
      <c r="AP28" s="6"/>
      <c r="AQ28" s="6"/>
      <c r="AR28" s="6"/>
      <c r="AT28" s="2"/>
      <c r="AU28" s="2"/>
      <c r="AV28" s="2"/>
      <c r="AW28" s="2"/>
      <c r="AX28" s="2"/>
      <c r="AY28" s="25"/>
      <c r="AZ28" s="2"/>
      <c r="BA28" s="18"/>
      <c r="BB28" s="18"/>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row>
    <row r="29" spans="1:86" ht="15" customHeight="1">
      <c r="A29" s="20"/>
      <c r="B29" s="20"/>
      <c r="C29" s="20"/>
      <c r="D29" s="20"/>
      <c r="E29" s="22"/>
      <c r="F29" s="22"/>
      <c r="G29" s="2"/>
      <c r="H29" s="25"/>
      <c r="I29" s="25"/>
      <c r="J29" s="6"/>
      <c r="K29" s="25"/>
      <c r="L29" s="25"/>
      <c r="M29" s="9"/>
      <c r="N29" s="9"/>
      <c r="O29" s="9"/>
      <c r="P29" s="25"/>
      <c r="Q29" s="25"/>
      <c r="R29" s="25"/>
      <c r="S29" s="25"/>
      <c r="T29" s="9"/>
      <c r="U29" s="30"/>
      <c r="V29" s="30"/>
      <c r="AE29" s="7"/>
      <c r="AL29" s="2"/>
      <c r="AM29" s="6"/>
      <c r="AN29" s="6"/>
      <c r="AO29" s="6"/>
      <c r="AP29" s="6"/>
      <c r="AQ29" s="6"/>
      <c r="AR29" s="6"/>
      <c r="AT29" s="2"/>
      <c r="AU29" s="2"/>
      <c r="AV29" s="2"/>
      <c r="AW29" s="2"/>
      <c r="AX29" s="2"/>
      <c r="AY29" s="25"/>
      <c r="AZ29" s="2"/>
      <c r="BA29" s="18"/>
      <c r="BB29" s="18"/>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row>
    <row r="30" spans="1:86" ht="15" customHeight="1">
      <c r="A30" s="20"/>
      <c r="B30" s="20"/>
      <c r="C30" s="20"/>
      <c r="D30" s="20"/>
      <c r="E30" s="22"/>
      <c r="F30" s="22"/>
      <c r="G30" s="2"/>
      <c r="H30" s="25"/>
      <c r="I30" s="25"/>
      <c r="J30" s="6"/>
      <c r="K30" s="25"/>
      <c r="L30" s="25"/>
      <c r="M30" s="9"/>
      <c r="N30" s="9"/>
      <c r="O30" s="9"/>
      <c r="P30" s="25"/>
      <c r="Q30" s="25"/>
      <c r="R30" s="25"/>
      <c r="S30" s="25"/>
      <c r="T30" s="9"/>
      <c r="U30" s="30"/>
      <c r="V30" s="30"/>
      <c r="AE30" s="7"/>
      <c r="AL30" s="2"/>
      <c r="AM30" s="6"/>
      <c r="AN30" s="6"/>
      <c r="AO30" s="6"/>
      <c r="AP30" s="6"/>
      <c r="AQ30" s="6"/>
      <c r="AR30" s="6"/>
      <c r="AT30" s="2"/>
      <c r="AU30" s="2"/>
      <c r="AV30" s="2"/>
      <c r="AW30" s="2"/>
      <c r="AX30" s="2"/>
      <c r="AY30" s="25"/>
      <c r="AZ30" s="2"/>
      <c r="BA30" s="18"/>
      <c r="BB30" s="18"/>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row>
    <row r="31" spans="1:86" ht="45">
      <c r="A31" s="20"/>
      <c r="B31" s="20"/>
      <c r="C31" s="51" t="str">
        <f t="shared" ref="C31:D31" si="18">C1</f>
        <v>Fuel</v>
      </c>
      <c r="D31" s="51" t="str">
        <f t="shared" si="18"/>
        <v>Phase</v>
      </c>
      <c r="E31" s="22"/>
      <c r="F31" s="22"/>
      <c r="G31" s="51" t="str">
        <f t="shared" ref="G31:V31" si="19">G1</f>
        <v>Chimney CO2 (%)</v>
      </c>
      <c r="H31" s="51" t="str">
        <f t="shared" si="19"/>
        <v>Chimney CO (%)</v>
      </c>
      <c r="I31" s="51" t="str">
        <f t="shared" si="19"/>
        <v>Chimney O2 (%)</v>
      </c>
      <c r="J31" s="51" t="str">
        <f t="shared" si="19"/>
        <v>CO2 10" (ppm)</v>
      </c>
      <c r="K31" s="51" t="str">
        <f t="shared" si="19"/>
        <v>CO 10" (ppm)</v>
      </c>
      <c r="L31" s="51" t="str">
        <f t="shared" si="19"/>
        <v>THC 10" (ppm)</v>
      </c>
      <c r="M31" s="51" t="str">
        <f t="shared" si="19"/>
        <v>CH4 10" (ppm)</v>
      </c>
      <c r="N31" s="51" t="str">
        <f t="shared" si="19"/>
        <v>NOx 10" (ppm)</v>
      </c>
      <c r="O31" s="51" t="str">
        <f t="shared" si="19"/>
        <v>NO 10" (ppm)</v>
      </c>
      <c r="P31" s="51" t="str">
        <f t="shared" si="19"/>
        <v>CO2 man (ppm)</v>
      </c>
      <c r="Q31" s="51" t="str">
        <f t="shared" si="19"/>
        <v>DR CO2</v>
      </c>
      <c r="R31" s="51" t="str">
        <f t="shared" si="19"/>
        <v>DR CO</v>
      </c>
      <c r="S31" s="51" t="str">
        <f t="shared" si="19"/>
        <v>DR manifold</v>
      </c>
      <c r="T31" s="51" t="str">
        <f t="shared" si="19"/>
        <v>PM 10" Conc. (mg/m3)</v>
      </c>
      <c r="U31" s="51" t="str">
        <f t="shared" si="19"/>
        <v>EC 10" Conc. (mg/m3)</v>
      </c>
      <c r="V31" s="51" t="str">
        <f t="shared" si="19"/>
        <v>OC 10" Conc. (mg/m3)</v>
      </c>
      <c r="W31" s="51" t="str">
        <f t="shared" ref="W31:AC31" si="20">W1</f>
        <v>AE33 BC7 (mg/m3)</v>
      </c>
      <c r="X31" s="51" t="str">
        <f t="shared" si="20"/>
        <v>AE33 BC6 (mg/m3)</v>
      </c>
      <c r="Y31" s="51" t="str">
        <f t="shared" si="20"/>
        <v>AE33 BC5 (mg/m3)</v>
      </c>
      <c r="Z31" s="51" t="str">
        <f t="shared" si="20"/>
        <v>AE33 BC4 (mg/m3)</v>
      </c>
      <c r="AA31" s="51" t="str">
        <f t="shared" si="20"/>
        <v>AE33 BC3 (mg/m3)</v>
      </c>
      <c r="AB31" s="51" t="str">
        <f t="shared" si="20"/>
        <v>AE33 BC2 (mg/m3)</v>
      </c>
      <c r="AC31" s="51" t="str">
        <f t="shared" si="20"/>
        <v>AE33 BC1 (mg/m3)</v>
      </c>
      <c r="AE31" s="51" t="str">
        <f t="shared" ref="AE31:AJ31" si="21">AE1</f>
        <v>AE33 AAE</v>
      </c>
      <c r="AF31" s="51" t="str">
        <f t="shared" si="21"/>
        <v>MA350 BCir (mg/m3)</v>
      </c>
      <c r="AG31" s="51" t="str">
        <f t="shared" si="21"/>
        <v>MA350 BCred (mg/m3)</v>
      </c>
      <c r="AH31" s="51" t="str">
        <f t="shared" si="21"/>
        <v>MA350 BCgreen (mg/m3)</v>
      </c>
      <c r="AI31" s="51" t="str">
        <f t="shared" si="21"/>
        <v>MA350 BCblue (mg/m3)</v>
      </c>
      <c r="AJ31" s="51" t="str">
        <f t="shared" si="21"/>
        <v>MA350 BCuv (mg/m3)</v>
      </c>
      <c r="AL31" s="51" t="str">
        <f t="shared" ref="AL31:AR31" si="22">AL1</f>
        <v>MA350 - AAE</v>
      </c>
      <c r="AM31" s="51" t="str">
        <f t="shared" si="22"/>
        <v>Babs 405 (Mm-1)</v>
      </c>
      <c r="AN31" s="51" t="str">
        <f t="shared" si="22"/>
        <v>Babs 532 (Mm-1)</v>
      </c>
      <c r="AO31" s="51" t="str">
        <f t="shared" si="22"/>
        <v>Babs 781 (Mm-1)</v>
      </c>
      <c r="AP31" s="51" t="str">
        <f t="shared" si="22"/>
        <v>Bsca 405 (Mm-1)</v>
      </c>
      <c r="AQ31" s="51" t="str">
        <f t="shared" si="22"/>
        <v>Bsca 532 (Mm-1)</v>
      </c>
      <c r="AR31" s="51" t="str">
        <f t="shared" si="22"/>
        <v>Bsca 781 (Mm-1)</v>
      </c>
      <c r="AT31" s="51" t="str">
        <f t="shared" ref="AT31:CH31" si="23">AT1</f>
        <v>SSA 405</v>
      </c>
      <c r="AU31" s="51" t="str">
        <f t="shared" si="23"/>
        <v>SSA 532</v>
      </c>
      <c r="AV31" s="51" t="str">
        <f t="shared" si="23"/>
        <v>SSA 781</v>
      </c>
      <c r="AW31" s="51" t="str">
        <f t="shared" si="23"/>
        <v>PASS-3 AAE</v>
      </c>
      <c r="AX31" s="51" t="str">
        <f t="shared" si="23"/>
        <v>SAE</v>
      </c>
      <c r="AY31" s="51" t="str">
        <f t="shared" si="23"/>
        <v>EEPS Dmed (nm)</v>
      </c>
      <c r="AZ31" s="51" t="str">
        <f t="shared" si="23"/>
        <v>EEPS geo mean</v>
      </c>
      <c r="BA31" s="51" t="str">
        <f t="shared" si="23"/>
        <v>EEPS (#/cm3)</v>
      </c>
      <c r="BB31" s="51" t="str">
        <f t="shared" si="23"/>
        <v>EEPS UFP (#/cm3)</v>
      </c>
      <c r="BC31" s="158">
        <f t="shared" si="23"/>
        <v>6.04</v>
      </c>
      <c r="BD31" s="158">
        <f t="shared" si="23"/>
        <v>6.98</v>
      </c>
      <c r="BE31" s="158">
        <f t="shared" si="23"/>
        <v>8.06</v>
      </c>
      <c r="BF31" s="158">
        <f t="shared" si="23"/>
        <v>9.31</v>
      </c>
      <c r="BG31" s="158">
        <f t="shared" si="23"/>
        <v>10.8</v>
      </c>
      <c r="BH31" s="158">
        <f t="shared" si="23"/>
        <v>12.4</v>
      </c>
      <c r="BI31" s="158">
        <f t="shared" si="23"/>
        <v>14.3</v>
      </c>
      <c r="BJ31" s="158">
        <f t="shared" si="23"/>
        <v>16.5</v>
      </c>
      <c r="BK31" s="158">
        <f t="shared" si="23"/>
        <v>19.100000000000001</v>
      </c>
      <c r="BL31" s="158">
        <f t="shared" si="23"/>
        <v>22.1</v>
      </c>
      <c r="BM31" s="158">
        <f t="shared" si="23"/>
        <v>25.5</v>
      </c>
      <c r="BN31" s="158">
        <f t="shared" si="23"/>
        <v>29.4</v>
      </c>
      <c r="BO31" s="158">
        <f t="shared" si="23"/>
        <v>34</v>
      </c>
      <c r="BP31" s="158">
        <f t="shared" si="23"/>
        <v>39.200000000000003</v>
      </c>
      <c r="BQ31" s="158">
        <f t="shared" si="23"/>
        <v>45.3</v>
      </c>
      <c r="BR31" s="158">
        <f t="shared" si="23"/>
        <v>52.3</v>
      </c>
      <c r="BS31" s="158">
        <f t="shared" si="23"/>
        <v>60.4</v>
      </c>
      <c r="BT31" s="158">
        <f t="shared" si="23"/>
        <v>69.8</v>
      </c>
      <c r="BU31" s="158">
        <f t="shared" si="23"/>
        <v>80.599999999999994</v>
      </c>
      <c r="BV31" s="158">
        <f t="shared" si="23"/>
        <v>93.1</v>
      </c>
      <c r="BW31" s="158">
        <f t="shared" si="23"/>
        <v>107.5</v>
      </c>
      <c r="BX31" s="158">
        <f t="shared" si="23"/>
        <v>124.1</v>
      </c>
      <c r="BY31" s="158">
        <f t="shared" si="23"/>
        <v>143.30000000000001</v>
      </c>
      <c r="BZ31" s="158">
        <f t="shared" si="23"/>
        <v>165.5</v>
      </c>
      <c r="CA31" s="158">
        <f t="shared" si="23"/>
        <v>191.1</v>
      </c>
      <c r="CB31" s="158">
        <f t="shared" si="23"/>
        <v>220.7</v>
      </c>
      <c r="CC31" s="158">
        <f t="shared" si="23"/>
        <v>254.8</v>
      </c>
      <c r="CD31" s="158">
        <f t="shared" si="23"/>
        <v>294.3</v>
      </c>
      <c r="CE31" s="158">
        <f t="shared" si="23"/>
        <v>339.8</v>
      </c>
      <c r="CF31" s="158">
        <f t="shared" si="23"/>
        <v>392.4</v>
      </c>
      <c r="CG31" s="158">
        <f t="shared" si="23"/>
        <v>453.2</v>
      </c>
      <c r="CH31" s="158">
        <f t="shared" si="23"/>
        <v>523.29999999999995</v>
      </c>
    </row>
    <row r="32" spans="1:86">
      <c r="A32" s="20"/>
      <c r="B32" s="20"/>
      <c r="C32" s="20" t="s">
        <v>500</v>
      </c>
      <c r="D32" s="20" t="s">
        <v>501</v>
      </c>
      <c r="E32" s="20"/>
      <c r="F32" s="22" t="s">
        <v>502</v>
      </c>
      <c r="G32" s="9">
        <f>AVERAGE(G3,G5,G7,G9,G11,G13)</f>
        <v>8.9852683333333339</v>
      </c>
      <c r="H32" s="9">
        <f t="shared" ref="H32:BP32" si="24">AVERAGE(H3,H5,H7,H9,H11,H13)</f>
        <v>0.78561333333333339</v>
      </c>
      <c r="I32" s="9">
        <f t="shared" si="24"/>
        <v>11.329028333333333</v>
      </c>
      <c r="J32" s="6">
        <f t="shared" si="24"/>
        <v>2323.52</v>
      </c>
      <c r="K32" s="25">
        <f t="shared" si="24"/>
        <v>126.88516666666665</v>
      </c>
      <c r="L32" s="25">
        <f t="shared" si="24"/>
        <v>84.451733333333337</v>
      </c>
      <c r="M32" s="9">
        <f t="shared" si="24"/>
        <v>17.1038</v>
      </c>
      <c r="N32" s="9">
        <f t="shared" si="24"/>
        <v>1.7637533333333335</v>
      </c>
      <c r="O32" s="9">
        <f t="shared" si="24"/>
        <v>1.5072083333333335</v>
      </c>
      <c r="P32" s="25">
        <f t="shared" si="24"/>
        <v>171.46116666666668</v>
      </c>
      <c r="Q32" s="25">
        <f t="shared" si="24"/>
        <v>65.797250000000005</v>
      </c>
      <c r="R32" s="25">
        <f t="shared" si="24"/>
        <v>62.990816666666667</v>
      </c>
      <c r="S32" s="25">
        <f t="shared" si="24"/>
        <v>13.5509</v>
      </c>
      <c r="T32" s="2">
        <f t="shared" si="24"/>
        <v>23.987200000000001</v>
      </c>
      <c r="U32" s="2">
        <f t="shared" si="24"/>
        <v>0.83137683333333323</v>
      </c>
      <c r="V32" s="2">
        <f t="shared" si="24"/>
        <v>14.6081</v>
      </c>
      <c r="W32" s="109">
        <f t="shared" si="24"/>
        <v>1.587248</v>
      </c>
      <c r="X32" s="109">
        <f t="shared" si="24"/>
        <v>1.5778799999999999</v>
      </c>
      <c r="Y32" s="109">
        <f t="shared" si="24"/>
        <v>1.9953720000000001</v>
      </c>
      <c r="Z32" s="109">
        <f t="shared" si="24"/>
        <v>2.2591200000000002</v>
      </c>
      <c r="AA32" s="109">
        <f t="shared" si="24"/>
        <v>2.5385660000000003</v>
      </c>
      <c r="AB32" s="109">
        <f t="shared" si="24"/>
        <v>3.118182</v>
      </c>
      <c r="AC32" s="109">
        <f t="shared" si="24"/>
        <v>4.5692519999999996</v>
      </c>
      <c r="AE32" s="68">
        <f t="shared" si="24"/>
        <v>2.101671333821983</v>
      </c>
      <c r="AF32" s="9">
        <f t="shared" si="24"/>
        <v>1.8998166666666665</v>
      </c>
      <c r="AG32" s="9">
        <f t="shared" si="24"/>
        <v>2.2899183333333335</v>
      </c>
      <c r="AH32" s="9">
        <f t="shared" si="24"/>
        <v>2.5546350000000002</v>
      </c>
      <c r="AI32" s="9">
        <f t="shared" si="24"/>
        <v>2.890216666666666</v>
      </c>
      <c r="AJ32" s="9">
        <f t="shared" si="24"/>
        <v>3.7124116666666667</v>
      </c>
      <c r="AL32" s="2">
        <f t="shared" si="24"/>
        <v>1.7687424194352899</v>
      </c>
      <c r="AM32" s="6">
        <f t="shared" si="24"/>
        <v>22831.920000000002</v>
      </c>
      <c r="AN32" s="6">
        <f t="shared" si="24"/>
        <v>10233.725</v>
      </c>
      <c r="AO32" s="6">
        <f t="shared" si="24"/>
        <v>5492.4416666666666</v>
      </c>
      <c r="AP32" s="6">
        <f t="shared" si="24"/>
        <v>146898.20000000001</v>
      </c>
      <c r="AQ32" s="6">
        <f t="shared" si="24"/>
        <v>107501.75</v>
      </c>
      <c r="AR32" s="6">
        <f t="shared" si="24"/>
        <v>45282.333333333336</v>
      </c>
      <c r="AT32" s="2">
        <f t="shared" si="24"/>
        <v>0.86480610815604986</v>
      </c>
      <c r="AU32" s="2">
        <f t="shared" si="24"/>
        <v>0.91205578342000349</v>
      </c>
      <c r="AV32" s="2">
        <f t="shared" si="24"/>
        <v>0.88675286693995314</v>
      </c>
      <c r="AW32" s="2">
        <f t="shared" si="24"/>
        <v>2.0177222863979871</v>
      </c>
      <c r="AX32" s="2">
        <f t="shared" si="24"/>
        <v>1.9790896281687498</v>
      </c>
      <c r="AY32" s="25">
        <f t="shared" si="24"/>
        <v>115.74493333333332</v>
      </c>
      <c r="AZ32" s="2">
        <f t="shared" si="24"/>
        <v>1.0492971666666666</v>
      </c>
      <c r="BA32" s="18">
        <f t="shared" si="24"/>
        <v>1788045</v>
      </c>
      <c r="BB32" s="18">
        <f t="shared" si="24"/>
        <v>695915</v>
      </c>
      <c r="BC32" s="9">
        <f t="shared" si="24"/>
        <v>3.4933933333333331</v>
      </c>
      <c r="BD32" s="9">
        <f t="shared" si="24"/>
        <v>3.6123083333333335</v>
      </c>
      <c r="BE32" s="9">
        <f t="shared" si="24"/>
        <v>4.3177549999999991</v>
      </c>
      <c r="BF32" s="9">
        <f t="shared" si="24"/>
        <v>7.2394766666666657</v>
      </c>
      <c r="BG32" s="9">
        <f t="shared" si="24"/>
        <v>7.6120633333333343</v>
      </c>
      <c r="BH32" s="9">
        <f t="shared" si="24"/>
        <v>6.3199600000000009</v>
      </c>
      <c r="BI32" s="9">
        <f t="shared" si="24"/>
        <v>11.393735</v>
      </c>
      <c r="BJ32" s="9">
        <f t="shared" si="24"/>
        <v>19.976716666666668</v>
      </c>
      <c r="BK32" s="9">
        <f t="shared" si="24"/>
        <v>29.763416666666668</v>
      </c>
      <c r="BL32" s="9">
        <f t="shared" si="24"/>
        <v>41.001333333333335</v>
      </c>
      <c r="BM32" s="9">
        <f t="shared" si="24"/>
        <v>51.800166666666676</v>
      </c>
      <c r="BN32" s="9">
        <f t="shared" si="24"/>
        <v>61.823983333333331</v>
      </c>
      <c r="BO32" s="9">
        <f t="shared" si="24"/>
        <v>83.71</v>
      </c>
      <c r="BP32" s="9">
        <f t="shared" si="24"/>
        <v>120.41211666666668</v>
      </c>
      <c r="BQ32" s="9">
        <f t="shared" ref="BQ32:CH32" si="25">AVERAGE(BQ3,BQ5,BQ7,BQ9,BQ11,BQ13)</f>
        <v>157.4731166666667</v>
      </c>
      <c r="BR32" s="9">
        <f t="shared" si="25"/>
        <v>194.64390000000003</v>
      </c>
      <c r="BS32" s="9">
        <f t="shared" si="25"/>
        <v>231.1644</v>
      </c>
      <c r="BT32" s="9">
        <f t="shared" si="25"/>
        <v>267.22933333333333</v>
      </c>
      <c r="BU32" s="9">
        <f t="shared" si="25"/>
        <v>290.24949999999995</v>
      </c>
      <c r="BV32" s="9">
        <f t="shared" si="25"/>
        <v>301.72216666666662</v>
      </c>
      <c r="BW32" s="9">
        <f t="shared" si="25"/>
        <v>303.86916666666667</v>
      </c>
      <c r="BX32" s="9">
        <f t="shared" si="25"/>
        <v>296.41316666666665</v>
      </c>
      <c r="BY32" s="9">
        <f t="shared" si="25"/>
        <v>290.863</v>
      </c>
      <c r="BZ32" s="9">
        <f t="shared" si="25"/>
        <v>287.20249999999999</v>
      </c>
      <c r="CA32" s="9">
        <f t="shared" si="25"/>
        <v>259.17316666666665</v>
      </c>
      <c r="CB32" s="9">
        <f t="shared" si="25"/>
        <v>206.77516666666668</v>
      </c>
      <c r="CC32" s="9">
        <f t="shared" si="25"/>
        <v>159.23983333333331</v>
      </c>
      <c r="CD32" s="9">
        <f t="shared" si="25"/>
        <v>116.56766666666665</v>
      </c>
      <c r="CE32" s="9">
        <f t="shared" si="25"/>
        <v>88.557583333333341</v>
      </c>
      <c r="CF32" s="9">
        <f t="shared" si="25"/>
        <v>75.209666666666678</v>
      </c>
      <c r="CG32" s="9">
        <f t="shared" si="25"/>
        <v>64.094566666666665</v>
      </c>
      <c r="CH32" s="9">
        <f t="shared" si="25"/>
        <v>55.212183333333336</v>
      </c>
    </row>
    <row r="33" spans="1:86">
      <c r="A33" s="20"/>
      <c r="B33" s="20"/>
      <c r="C33" s="20"/>
      <c r="D33" s="20"/>
      <c r="E33" s="20"/>
      <c r="F33" s="22" t="s">
        <v>503</v>
      </c>
      <c r="G33" s="9">
        <f>STDEV(G3,G5,G7,G9,G11,G13)</f>
        <v>0.92546216502711054</v>
      </c>
      <c r="H33" s="9">
        <f t="shared" ref="H33:BP33" si="26">STDEV(H3,H5,H7,H9,H11,H13)</f>
        <v>9.2975252444220918E-2</v>
      </c>
      <c r="I33" s="9">
        <f t="shared" si="26"/>
        <v>1.1307877220843294</v>
      </c>
      <c r="J33" s="6">
        <f t="shared" si="26"/>
        <v>341.50810567247197</v>
      </c>
      <c r="K33" s="25">
        <f t="shared" si="26"/>
        <v>23.36589582632493</v>
      </c>
      <c r="L33" s="25">
        <f t="shared" si="26"/>
        <v>13.742837845462105</v>
      </c>
      <c r="M33" s="9">
        <f t="shared" si="26"/>
        <v>1.4787706583510505</v>
      </c>
      <c r="N33" s="9">
        <f t="shared" si="26"/>
        <v>0.38540244408496649</v>
      </c>
      <c r="O33" s="9">
        <f t="shared" si="26"/>
        <v>0.51799221609659951</v>
      </c>
      <c r="P33" s="25">
        <f t="shared" si="26"/>
        <v>22.273363225311542</v>
      </c>
      <c r="Q33" s="25">
        <f t="shared" si="26"/>
        <v>7.826376366556838</v>
      </c>
      <c r="R33" s="25">
        <f t="shared" si="26"/>
        <v>5.2586772943076348</v>
      </c>
      <c r="S33" s="25">
        <f t="shared" si="26"/>
        <v>0.80714011918625395</v>
      </c>
      <c r="T33" s="2">
        <f t="shared" si="26"/>
        <v>3.6778574523763239</v>
      </c>
      <c r="U33" s="2">
        <f t="shared" si="26"/>
        <v>0.14627876317144209</v>
      </c>
      <c r="V33" s="2">
        <f t="shared" si="26"/>
        <v>2.3866760182312232</v>
      </c>
      <c r="W33" s="109">
        <f t="shared" si="26"/>
        <v>0.15330487148163302</v>
      </c>
      <c r="X33" s="109">
        <f t="shared" si="26"/>
        <v>0.1506369951240398</v>
      </c>
      <c r="Y33" s="109">
        <f t="shared" si="26"/>
        <v>0.22350357753288883</v>
      </c>
      <c r="Z33" s="109">
        <f t="shared" si="26"/>
        <v>0.24434274482783397</v>
      </c>
      <c r="AA33" s="109">
        <f t="shared" si="26"/>
        <v>0.26788108822759404</v>
      </c>
      <c r="AB33" s="109">
        <f t="shared" si="26"/>
        <v>0.31808958277504157</v>
      </c>
      <c r="AC33" s="109">
        <f t="shared" si="26"/>
        <v>0.39501157396967512</v>
      </c>
      <c r="AE33" s="68">
        <f t="shared" si="26"/>
        <v>6.3275762257906515E-2</v>
      </c>
      <c r="AF33" s="9">
        <f t="shared" si="26"/>
        <v>0.32516510222757056</v>
      </c>
      <c r="AG33" s="9">
        <f t="shared" si="26"/>
        <v>0.45182798556161252</v>
      </c>
      <c r="AH33" s="9">
        <f t="shared" si="26"/>
        <v>0.50339343610142351</v>
      </c>
      <c r="AI33" s="9">
        <f t="shared" si="26"/>
        <v>0.56933772865204701</v>
      </c>
      <c r="AJ33" s="9">
        <f t="shared" si="26"/>
        <v>0.66558550318998411</v>
      </c>
      <c r="AL33" s="2">
        <f t="shared" si="26"/>
        <v>6.2899379810765182E-2</v>
      </c>
      <c r="AM33" s="6">
        <f t="shared" si="26"/>
        <v>2153.8265231907599</v>
      </c>
      <c r="AN33" s="6">
        <f t="shared" si="26"/>
        <v>1120.1626364015185</v>
      </c>
      <c r="AO33" s="6">
        <f t="shared" si="26"/>
        <v>922.80994349684909</v>
      </c>
      <c r="AP33" s="6">
        <f t="shared" si="26"/>
        <v>12187.728200940486</v>
      </c>
      <c r="AQ33" s="6">
        <f t="shared" si="26"/>
        <v>12110.997772231711</v>
      </c>
      <c r="AR33" s="6">
        <f t="shared" si="26"/>
        <v>10510.520085831462</v>
      </c>
      <c r="AT33" s="2">
        <f t="shared" si="26"/>
        <v>1.7331586452832084E-2</v>
      </c>
      <c r="AU33" s="2">
        <f t="shared" si="26"/>
        <v>1.56857023133362E-2</v>
      </c>
      <c r="AV33" s="2">
        <f t="shared" si="26"/>
        <v>3.6076034231847548E-2</v>
      </c>
      <c r="AW33" s="2">
        <f t="shared" si="26"/>
        <v>0.50576975733068363</v>
      </c>
      <c r="AX33" s="2">
        <f t="shared" si="26"/>
        <v>0.47105274164889688</v>
      </c>
      <c r="AY33" s="25">
        <f t="shared" si="26"/>
        <v>19.153771826840526</v>
      </c>
      <c r="AZ33" s="2">
        <f t="shared" si="26"/>
        <v>6.845620085986856E-2</v>
      </c>
      <c r="BA33" s="18">
        <f t="shared" si="26"/>
        <v>567978.40961606987</v>
      </c>
      <c r="BB33" s="18">
        <f t="shared" si="26"/>
        <v>309536.5353983274</v>
      </c>
      <c r="BC33" s="9">
        <f t="shared" si="26"/>
        <v>1.0489334976378004</v>
      </c>
      <c r="BD33" s="9">
        <f t="shared" si="26"/>
        <v>0.9200816117587951</v>
      </c>
      <c r="BE33" s="9">
        <f t="shared" si="26"/>
        <v>1.5193560910036874</v>
      </c>
      <c r="BF33" s="9">
        <f t="shared" si="26"/>
        <v>3.0448949261914904</v>
      </c>
      <c r="BG33" s="9">
        <f t="shared" si="26"/>
        <v>2.6950584132271871</v>
      </c>
      <c r="BH33" s="9">
        <f t="shared" si="26"/>
        <v>2.315293153525054</v>
      </c>
      <c r="BI33" s="9">
        <f t="shared" si="26"/>
        <v>4.8810010845020289</v>
      </c>
      <c r="BJ33" s="9">
        <f t="shared" si="26"/>
        <v>6.7059400341537865</v>
      </c>
      <c r="BK33" s="9">
        <f t="shared" si="26"/>
        <v>9.6377549330571171</v>
      </c>
      <c r="BL33" s="9">
        <f t="shared" si="26"/>
        <v>14.009913452504501</v>
      </c>
      <c r="BM33" s="9">
        <f t="shared" si="26"/>
        <v>18.012865102216942</v>
      </c>
      <c r="BN33" s="9">
        <f t="shared" si="26"/>
        <v>22.243072354098615</v>
      </c>
      <c r="BO33" s="9">
        <f t="shared" si="26"/>
        <v>31.850180478797903</v>
      </c>
      <c r="BP33" s="9">
        <f t="shared" si="26"/>
        <v>52.121356538310337</v>
      </c>
      <c r="BQ33" s="9">
        <f t="shared" ref="BQ33:CH33" si="27">STDEV(BQ3,BQ5,BQ7,BQ9,BQ11,BQ13)</f>
        <v>73.603439367203904</v>
      </c>
      <c r="BR33" s="9">
        <f t="shared" si="27"/>
        <v>95.071789033235291</v>
      </c>
      <c r="BS33" s="9">
        <f t="shared" si="27"/>
        <v>113.96151843389944</v>
      </c>
      <c r="BT33" s="9">
        <f t="shared" si="27"/>
        <v>130.31709409385505</v>
      </c>
      <c r="BU33" s="9">
        <f t="shared" si="27"/>
        <v>133.74342531691059</v>
      </c>
      <c r="BV33" s="9">
        <f t="shared" si="27"/>
        <v>122.88381674967096</v>
      </c>
      <c r="BW33" s="9">
        <f t="shared" si="27"/>
        <v>107.59765103089697</v>
      </c>
      <c r="BX33" s="9">
        <f t="shared" si="27"/>
        <v>88.084199244624131</v>
      </c>
      <c r="BY33" s="9">
        <f t="shared" si="27"/>
        <v>72.129279375299504</v>
      </c>
      <c r="BZ33" s="9">
        <f t="shared" si="27"/>
        <v>59.95665077620653</v>
      </c>
      <c r="CA33" s="9">
        <f t="shared" si="27"/>
        <v>46.035644370060467</v>
      </c>
      <c r="CB33" s="9">
        <f t="shared" si="27"/>
        <v>30.358842549851186</v>
      </c>
      <c r="CC33" s="9">
        <f t="shared" si="27"/>
        <v>19.690753021829231</v>
      </c>
      <c r="CD33" s="9">
        <f t="shared" si="27"/>
        <v>12.410545123670703</v>
      </c>
      <c r="CE33" s="9">
        <f t="shared" si="27"/>
        <v>8.3619105497288508</v>
      </c>
      <c r="CF33" s="9">
        <f t="shared" si="27"/>
        <v>6.4370407864690957</v>
      </c>
      <c r="CG33" s="9">
        <f t="shared" si="27"/>
        <v>5.1938396862693663</v>
      </c>
      <c r="CH33" s="9">
        <f t="shared" si="27"/>
        <v>4.3447570769453474</v>
      </c>
    </row>
    <row r="34" spans="1:86" s="37" customFormat="1">
      <c r="A34" s="53"/>
      <c r="B34" s="53"/>
      <c r="C34" s="53"/>
      <c r="D34" s="53"/>
      <c r="E34" s="53"/>
      <c r="F34" s="54" t="s">
        <v>493</v>
      </c>
      <c r="G34" s="55">
        <f>G33/G32</f>
        <v>0.10299772145856269</v>
      </c>
      <c r="H34" s="55">
        <f t="shared" ref="H34:BP34" si="28">H33/H32</f>
        <v>0.11834734531519439</v>
      </c>
      <c r="I34" s="55">
        <f t="shared" si="28"/>
        <v>9.9813301618923433E-2</v>
      </c>
      <c r="J34" s="55">
        <f t="shared" si="28"/>
        <v>0.1469787674186028</v>
      </c>
      <c r="K34" s="55">
        <f t="shared" si="28"/>
        <v>0.18414993998241139</v>
      </c>
      <c r="L34" s="55">
        <f t="shared" si="28"/>
        <v>0.16273008620461044</v>
      </c>
      <c r="M34" s="55">
        <f t="shared" si="28"/>
        <v>8.6458603254893684E-2</v>
      </c>
      <c r="N34" s="55">
        <f t="shared" si="28"/>
        <v>0.21851266659640603</v>
      </c>
      <c r="O34" s="55">
        <f t="shared" si="28"/>
        <v>0.34367658713179405</v>
      </c>
      <c r="P34" s="55">
        <f t="shared" si="28"/>
        <v>0.1299032524875596</v>
      </c>
      <c r="Q34" s="55">
        <f t="shared" si="28"/>
        <v>0.11894686125266386</v>
      </c>
      <c r="R34" s="55">
        <f t="shared" si="28"/>
        <v>8.3483237281005263E-2</v>
      </c>
      <c r="S34" s="55">
        <f t="shared" si="28"/>
        <v>5.95635802187496E-2</v>
      </c>
      <c r="T34" s="55">
        <f t="shared" si="28"/>
        <v>0.15332583429397026</v>
      </c>
      <c r="U34" s="55">
        <f t="shared" si="28"/>
        <v>0.17594760559414446</v>
      </c>
      <c r="V34" s="55">
        <f t="shared" si="28"/>
        <v>0.16338031764782709</v>
      </c>
      <c r="W34" s="55">
        <f t="shared" si="28"/>
        <v>9.65853297541613E-2</v>
      </c>
      <c r="X34" s="55">
        <f t="shared" si="28"/>
        <v>9.5467966590640482E-2</v>
      </c>
      <c r="Y34" s="55">
        <f t="shared" si="28"/>
        <v>0.11201098217920709</v>
      </c>
      <c r="Z34" s="55">
        <f t="shared" si="28"/>
        <v>0.10815837353829541</v>
      </c>
      <c r="AA34" s="55">
        <f t="shared" si="28"/>
        <v>0.10552457104821936</v>
      </c>
      <c r="AB34" s="55">
        <f t="shared" si="28"/>
        <v>0.10201123051029143</v>
      </c>
      <c r="AC34" s="55">
        <f t="shared" si="28"/>
        <v>8.6449942784874889E-2</v>
      </c>
      <c r="AD34" s="55"/>
      <c r="AE34" s="55">
        <f t="shared" si="28"/>
        <v>3.0107353723494303E-2</v>
      </c>
      <c r="AF34" s="55">
        <f t="shared" si="28"/>
        <v>0.17115604254493183</v>
      </c>
      <c r="AG34" s="55">
        <f t="shared" si="28"/>
        <v>0.19731183378225825</v>
      </c>
      <c r="AH34" s="55">
        <f t="shared" si="28"/>
        <v>0.19705102141848971</v>
      </c>
      <c r="AI34" s="55">
        <f t="shared" si="28"/>
        <v>0.19698790586128392</v>
      </c>
      <c r="AJ34" s="55">
        <f t="shared" si="28"/>
        <v>0.1792865562745109</v>
      </c>
      <c r="AK34" s="55"/>
      <c r="AL34" s="55">
        <f t="shared" si="28"/>
        <v>3.5561639230005687E-2</v>
      </c>
      <c r="AM34" s="55">
        <f t="shared" si="28"/>
        <v>9.4334007967387751E-2</v>
      </c>
      <c r="AN34" s="55">
        <f t="shared" si="28"/>
        <v>0.10945795752783258</v>
      </c>
      <c r="AO34" s="55">
        <f t="shared" si="28"/>
        <v>0.16801451876991849</v>
      </c>
      <c r="AP34" s="55">
        <f t="shared" si="28"/>
        <v>8.2967171830155062E-2</v>
      </c>
      <c r="AQ34" s="55">
        <f t="shared" si="28"/>
        <v>0.11265861041547427</v>
      </c>
      <c r="AR34" s="55">
        <f t="shared" si="28"/>
        <v>0.23211083246221401</v>
      </c>
      <c r="AS34" s="55"/>
      <c r="AT34" s="55">
        <f t="shared" si="28"/>
        <v>2.0041008370982376E-2</v>
      </c>
      <c r="AU34" s="55">
        <f t="shared" si="28"/>
        <v>1.71981830481008E-2</v>
      </c>
      <c r="AV34" s="55">
        <f t="shared" si="28"/>
        <v>4.0683301488880837E-2</v>
      </c>
      <c r="AW34" s="55">
        <f t="shared" si="28"/>
        <v>0.25066371162186923</v>
      </c>
      <c r="AX34" s="55">
        <f t="shared" si="28"/>
        <v>0.23801486044104109</v>
      </c>
      <c r="AY34" s="55">
        <f t="shared" si="28"/>
        <v>0.16548259414241195</v>
      </c>
      <c r="AZ34" s="55">
        <f t="shared" si="28"/>
        <v>6.5240051183341516E-2</v>
      </c>
      <c r="BA34" s="55">
        <f t="shared" si="28"/>
        <v>0.31765330828702293</v>
      </c>
      <c r="BB34" s="55">
        <f t="shared" si="28"/>
        <v>0.44479072214038695</v>
      </c>
      <c r="BC34" s="55">
        <f t="shared" si="28"/>
        <v>0.30026206543336104</v>
      </c>
      <c r="BD34" s="55">
        <f t="shared" si="28"/>
        <v>0.25470738565380724</v>
      </c>
      <c r="BE34" s="55">
        <f t="shared" si="28"/>
        <v>0.35188566535240828</v>
      </c>
      <c r="BF34" s="55">
        <f t="shared" si="28"/>
        <v>0.42059599973729556</v>
      </c>
      <c r="BG34" s="55">
        <f t="shared" si="28"/>
        <v>0.35405097083539594</v>
      </c>
      <c r="BH34" s="55">
        <f t="shared" si="28"/>
        <v>0.36634617205252151</v>
      </c>
      <c r="BI34" s="55">
        <f t="shared" si="28"/>
        <v>0.42839341835684513</v>
      </c>
      <c r="BJ34" s="55">
        <f t="shared" si="28"/>
        <v>0.33568779825282197</v>
      </c>
      <c r="BK34" s="55">
        <f t="shared" si="28"/>
        <v>0.32381211609522148</v>
      </c>
      <c r="BL34" s="55">
        <f t="shared" si="28"/>
        <v>0.34169409415558438</v>
      </c>
      <c r="BM34" s="55">
        <f t="shared" si="28"/>
        <v>0.34773758969019286</v>
      </c>
      <c r="BN34" s="55">
        <f t="shared" si="28"/>
        <v>0.35978064102035834</v>
      </c>
      <c r="BO34" s="55">
        <f t="shared" si="28"/>
        <v>0.3804823853637308</v>
      </c>
      <c r="BP34" s="55">
        <f t="shared" si="28"/>
        <v>0.43285807094145151</v>
      </c>
      <c r="BQ34" s="55">
        <f t="shared" ref="BQ34:CH34" si="29">BQ33/BQ32</f>
        <v>0.46740320459272394</v>
      </c>
      <c r="BR34" s="55">
        <f t="shared" si="29"/>
        <v>0.48843960192554342</v>
      </c>
      <c r="BS34" s="55">
        <f t="shared" si="29"/>
        <v>0.49298905209409166</v>
      </c>
      <c r="BT34" s="55">
        <f t="shared" si="29"/>
        <v>0.48766013995664792</v>
      </c>
      <c r="BU34" s="55">
        <f t="shared" si="29"/>
        <v>0.46078778883998289</v>
      </c>
      <c r="BV34" s="55">
        <f t="shared" si="29"/>
        <v>0.40727473923196772</v>
      </c>
      <c r="BW34" s="55">
        <f t="shared" si="29"/>
        <v>0.35409203313124443</v>
      </c>
      <c r="BX34" s="55">
        <f t="shared" si="29"/>
        <v>0.29716695865835063</v>
      </c>
      <c r="BY34" s="55">
        <f t="shared" si="29"/>
        <v>0.2479836877681228</v>
      </c>
      <c r="BZ34" s="55">
        <f t="shared" si="29"/>
        <v>0.20876089440797532</v>
      </c>
      <c r="CA34" s="55">
        <f t="shared" si="29"/>
        <v>0.17762504105708141</v>
      </c>
      <c r="CB34" s="55">
        <f t="shared" si="29"/>
        <v>0.14682054445537635</v>
      </c>
      <c r="CC34" s="55">
        <f t="shared" si="29"/>
        <v>0.12365469499463116</v>
      </c>
      <c r="CD34" s="55">
        <f t="shared" si="29"/>
        <v>0.10646644544373972</v>
      </c>
      <c r="CE34" s="55">
        <f t="shared" si="29"/>
        <v>9.4423427503146445E-2</v>
      </c>
      <c r="CF34" s="55">
        <f t="shared" si="29"/>
        <v>8.558794463214961E-2</v>
      </c>
      <c r="CG34" s="55">
        <f t="shared" si="29"/>
        <v>8.1034008908753577E-2</v>
      </c>
      <c r="CH34" s="55">
        <f t="shared" si="29"/>
        <v>7.869199902338006E-2</v>
      </c>
    </row>
    <row r="35" spans="1:86">
      <c r="A35" s="20"/>
      <c r="B35" s="20"/>
      <c r="C35" s="20" t="s">
        <v>500</v>
      </c>
      <c r="D35" s="20" t="s">
        <v>504</v>
      </c>
      <c r="E35" s="20"/>
      <c r="F35" s="22" t="s">
        <v>502</v>
      </c>
      <c r="G35" s="9">
        <f>AVERAGE(G4,G6,G14)</f>
        <v>9.6149766666666654</v>
      </c>
      <c r="H35" s="9">
        <f t="shared" ref="H35:BP35" si="30">AVERAGE(H4,H6,H14)</f>
        <v>0.14833706666666666</v>
      </c>
      <c r="I35" s="9">
        <f t="shared" si="30"/>
        <v>11.215533333333335</v>
      </c>
      <c r="J35" s="6">
        <f t="shared" si="30"/>
        <v>1293.3433333333332</v>
      </c>
      <c r="K35" s="25">
        <f t="shared" si="30"/>
        <v>19.083449999999999</v>
      </c>
      <c r="L35" s="25">
        <f t="shared" si="30"/>
        <v>46.877133333333326</v>
      </c>
      <c r="M35" s="9">
        <f t="shared" si="30"/>
        <v>19.280333333333335</v>
      </c>
      <c r="N35" s="9">
        <f t="shared" si="30"/>
        <v>0.79770166666666675</v>
      </c>
      <c r="O35" s="9">
        <f t="shared" si="30"/>
        <v>0.75766299999999998</v>
      </c>
      <c r="P35" s="25">
        <f t="shared" si="30"/>
        <v>100.03533333333333</v>
      </c>
      <c r="Q35" s="25">
        <f t="shared" si="30"/>
        <v>112.745</v>
      </c>
      <c r="R35" s="25">
        <f t="shared" si="30"/>
        <v>42.770123333333324</v>
      </c>
      <c r="S35" s="25">
        <f t="shared" si="30"/>
        <v>13.032133333333332</v>
      </c>
      <c r="T35" s="2">
        <f t="shared" si="30"/>
        <v>5.5922200000000002</v>
      </c>
      <c r="U35" s="2">
        <f t="shared" si="30"/>
        <v>8.0848299999999998E-2</v>
      </c>
      <c r="V35" s="2">
        <f t="shared" si="30"/>
        <v>3.2030333333333334</v>
      </c>
      <c r="W35" s="109">
        <f t="shared" si="30"/>
        <v>0.16819566666666666</v>
      </c>
      <c r="X35" s="109">
        <f t="shared" si="30"/>
        <v>0.171898</v>
      </c>
      <c r="Y35" s="109">
        <f t="shared" si="30"/>
        <v>0.26625499999999996</v>
      </c>
      <c r="Z35" s="109">
        <f t="shared" si="30"/>
        <v>0.328156</v>
      </c>
      <c r="AA35" s="109">
        <f t="shared" si="30"/>
        <v>0.39784999999999998</v>
      </c>
      <c r="AB35" s="109">
        <f t="shared" si="30"/>
        <v>0.53124700000000002</v>
      </c>
      <c r="AC35" s="109">
        <f t="shared" si="30"/>
        <v>0.88034400000000002</v>
      </c>
      <c r="AE35" s="68">
        <f t="shared" si="30"/>
        <v>2.7671731531439807</v>
      </c>
      <c r="AF35" s="9">
        <f t="shared" si="30"/>
        <v>0.19793933333333333</v>
      </c>
      <c r="AG35" s="9">
        <f t="shared" si="30"/>
        <v>0.28762933333333335</v>
      </c>
      <c r="AH35" s="9">
        <f t="shared" si="30"/>
        <v>0.36047333333333337</v>
      </c>
      <c r="AI35" s="9">
        <f t="shared" si="30"/>
        <v>0.43387833333333331</v>
      </c>
      <c r="AJ35" s="9">
        <f t="shared" si="30"/>
        <v>0.60140499999999997</v>
      </c>
      <c r="AL35" s="2">
        <f t="shared" si="30"/>
        <v>2.3005158842328624</v>
      </c>
      <c r="AM35" s="6">
        <f t="shared" si="30"/>
        <v>3904.5550000000003</v>
      </c>
      <c r="AN35" s="6">
        <f t="shared" si="30"/>
        <v>1541.8266666666666</v>
      </c>
      <c r="AO35" s="6">
        <f t="shared" si="30"/>
        <v>660.08399999999995</v>
      </c>
      <c r="AP35" s="6">
        <f t="shared" si="30"/>
        <v>25311.599999999999</v>
      </c>
      <c r="AQ35" s="6">
        <f t="shared" si="30"/>
        <v>22613.266666666666</v>
      </c>
      <c r="AR35" s="6">
        <f t="shared" si="30"/>
        <v>8334.8533333333344</v>
      </c>
      <c r="AT35" s="2">
        <f t="shared" si="30"/>
        <v>0.86513325091932658</v>
      </c>
      <c r="AU35" s="2">
        <f t="shared" si="30"/>
        <v>0.92561225453542784</v>
      </c>
      <c r="AV35" s="2">
        <f t="shared" si="30"/>
        <v>0.90974696325798676</v>
      </c>
      <c r="AW35" s="2">
        <f t="shared" si="30"/>
        <v>2.468158361593753</v>
      </c>
      <c r="AX35" s="2">
        <f t="shared" si="30"/>
        <v>2.4290709813400468</v>
      </c>
      <c r="AY35" s="25">
        <f t="shared" si="30"/>
        <v>141.52433333333335</v>
      </c>
      <c r="AZ35" s="2">
        <f t="shared" si="30"/>
        <v>0.85180166666666679</v>
      </c>
      <c r="BA35" s="18">
        <f t="shared" si="30"/>
        <v>387218.33333333331</v>
      </c>
      <c r="BB35" s="18">
        <f t="shared" si="30"/>
        <v>92282.099999999991</v>
      </c>
      <c r="BC35" s="9">
        <f t="shared" si="30"/>
        <v>1.2092340000000001</v>
      </c>
      <c r="BD35" s="9">
        <f t="shared" si="30"/>
        <v>1.9734066666666668</v>
      </c>
      <c r="BE35" s="9">
        <f t="shared" si="30"/>
        <v>2.9954800000000001</v>
      </c>
      <c r="BF35" s="9">
        <f t="shared" si="30"/>
        <v>6.0365033333333331</v>
      </c>
      <c r="BG35" s="9">
        <f t="shared" si="30"/>
        <v>5.9384333333333332</v>
      </c>
      <c r="BH35" s="9">
        <f t="shared" si="30"/>
        <v>2.3035033333333335</v>
      </c>
      <c r="BI35" s="9">
        <f t="shared" si="30"/>
        <v>1.7171000000000001</v>
      </c>
      <c r="BJ35" s="9">
        <f t="shared" si="30"/>
        <v>2.6728566666666667</v>
      </c>
      <c r="BK35" s="9">
        <f t="shared" si="30"/>
        <v>3.2257866666666666</v>
      </c>
      <c r="BL35" s="9">
        <f t="shared" si="30"/>
        <v>2.9140433333333333</v>
      </c>
      <c r="BM35" s="9">
        <f t="shared" si="30"/>
        <v>2.8914566666666666</v>
      </c>
      <c r="BN35" s="9">
        <f t="shared" si="30"/>
        <v>3.3814833333333332</v>
      </c>
      <c r="BO35" s="9">
        <f t="shared" si="30"/>
        <v>5.424246666666666</v>
      </c>
      <c r="BP35" s="9">
        <f t="shared" si="30"/>
        <v>9.7051066666666674</v>
      </c>
      <c r="BQ35" s="9">
        <f t="shared" ref="BQ35:CH35" si="31">AVERAGE(BQ4,BQ6,BQ14)</f>
        <v>15.343133333333334</v>
      </c>
      <c r="BR35" s="9">
        <f t="shared" si="31"/>
        <v>22.29986666666667</v>
      </c>
      <c r="BS35" s="9">
        <f t="shared" si="31"/>
        <v>31.685966666666662</v>
      </c>
      <c r="BT35" s="9">
        <f t="shared" si="31"/>
        <v>43.39306666666667</v>
      </c>
      <c r="BU35" s="9">
        <f t="shared" si="31"/>
        <v>55.2483</v>
      </c>
      <c r="BV35" s="9">
        <f t="shared" si="31"/>
        <v>67.350966666666665</v>
      </c>
      <c r="BW35" s="9">
        <f t="shared" si="31"/>
        <v>76.970100000000002</v>
      </c>
      <c r="BX35" s="9">
        <f t="shared" si="31"/>
        <v>84.094366666666659</v>
      </c>
      <c r="BY35" s="9">
        <f t="shared" si="31"/>
        <v>88.45686666666667</v>
      </c>
      <c r="BZ35" s="9">
        <f t="shared" si="31"/>
        <v>90.057400000000015</v>
      </c>
      <c r="CA35" s="9">
        <f t="shared" si="31"/>
        <v>82.046933333333342</v>
      </c>
      <c r="CB35" s="9">
        <f t="shared" si="31"/>
        <v>64.425733333333326</v>
      </c>
      <c r="CC35" s="9">
        <f t="shared" si="31"/>
        <v>48.561233333333327</v>
      </c>
      <c r="CD35" s="9">
        <f t="shared" si="31"/>
        <v>34.453499999999998</v>
      </c>
      <c r="CE35" s="9">
        <f t="shared" si="31"/>
        <v>25.139966666666666</v>
      </c>
      <c r="CF35" s="9">
        <f t="shared" si="31"/>
        <v>20.620699999999999</v>
      </c>
      <c r="CG35" s="9">
        <f t="shared" si="31"/>
        <v>17.057566666666666</v>
      </c>
      <c r="CH35" s="9">
        <f t="shared" si="31"/>
        <v>14.450200000000001</v>
      </c>
    </row>
    <row r="36" spans="1:86">
      <c r="A36" s="20"/>
      <c r="B36" s="20"/>
      <c r="C36" s="20"/>
      <c r="D36" s="20"/>
      <c r="E36" s="20"/>
      <c r="F36" s="22" t="s">
        <v>503</v>
      </c>
      <c r="G36" s="9">
        <f>STDEV(G4,G6,G14)</f>
        <v>0.44148150837077393</v>
      </c>
      <c r="H36" s="9">
        <f t="shared" ref="H36:BP36" si="32">STDEV(H4,H6,H14)</f>
        <v>0.11740114356688922</v>
      </c>
      <c r="I36" s="9">
        <f t="shared" si="32"/>
        <v>0.27946853728699694</v>
      </c>
      <c r="J36" s="6">
        <f t="shared" si="32"/>
        <v>74.625729030498178</v>
      </c>
      <c r="K36" s="25">
        <f t="shared" si="32"/>
        <v>9.8550197778847721</v>
      </c>
      <c r="L36" s="25">
        <f t="shared" si="32"/>
        <v>9.9938413587235715</v>
      </c>
      <c r="M36" s="9">
        <f t="shared" si="32"/>
        <v>1.75695212323311</v>
      </c>
      <c r="N36" s="9">
        <f t="shared" si="32"/>
        <v>0.10217531080125516</v>
      </c>
      <c r="O36" s="9">
        <f t="shared" si="32"/>
        <v>0.10285690822205454</v>
      </c>
      <c r="P36" s="25">
        <f t="shared" si="32"/>
        <v>12.245117540609129</v>
      </c>
      <c r="Q36" s="25">
        <f t="shared" si="32"/>
        <v>6.6735611932460719</v>
      </c>
      <c r="R36" s="25">
        <f t="shared" si="32"/>
        <v>60.449991218011213</v>
      </c>
      <c r="S36" s="25">
        <f t="shared" si="32"/>
        <v>1.3140922506937383</v>
      </c>
      <c r="T36" s="2">
        <f t="shared" si="32"/>
        <v>2.6312400586605538</v>
      </c>
      <c r="U36" s="2">
        <f t="shared" si="32"/>
        <v>2.0257294661676813E-2</v>
      </c>
      <c r="V36" s="2">
        <f t="shared" si="32"/>
        <v>1.4303992273953914</v>
      </c>
      <c r="W36" s="109">
        <f t="shared" si="32"/>
        <v>4.3266271417044186E-2</v>
      </c>
      <c r="X36" s="109">
        <f t="shared" si="32"/>
        <v>4.3226621184173128E-2</v>
      </c>
      <c r="Y36" s="109">
        <f t="shared" si="32"/>
        <v>5.4860297310532428E-2</v>
      </c>
      <c r="Z36" s="109">
        <f t="shared" si="32"/>
        <v>5.9459138145452492E-2</v>
      </c>
      <c r="AA36" s="109">
        <f t="shared" si="32"/>
        <v>5.9321885329109869E-2</v>
      </c>
      <c r="AB36" s="109">
        <f t="shared" si="32"/>
        <v>7.311701189873665E-2</v>
      </c>
      <c r="AC36" s="109">
        <f t="shared" si="32"/>
        <v>0.21151710275058108</v>
      </c>
      <c r="AE36" s="68">
        <f t="shared" si="32"/>
        <v>0.2850486095116706</v>
      </c>
      <c r="AF36" s="9">
        <f t="shared" si="32"/>
        <v>3.8571118798050787E-2</v>
      </c>
      <c r="AG36" s="9">
        <f t="shared" si="32"/>
        <v>4.9609074717568924E-2</v>
      </c>
      <c r="AH36" s="9">
        <f t="shared" si="32"/>
        <v>5.4753359078081466E-2</v>
      </c>
      <c r="AI36" s="9">
        <f t="shared" si="32"/>
        <v>6.5653929405126904E-2</v>
      </c>
      <c r="AJ36" s="9">
        <f t="shared" si="32"/>
        <v>0.13737355623627143</v>
      </c>
      <c r="AL36" s="2">
        <f t="shared" si="32"/>
        <v>0.23941698019113655</v>
      </c>
      <c r="AM36" s="6">
        <f t="shared" si="32"/>
        <v>699.02455067758319</v>
      </c>
      <c r="AN36" s="6">
        <f t="shared" si="32"/>
        <v>197.28116416255628</v>
      </c>
      <c r="AO36" s="6">
        <f t="shared" si="32"/>
        <v>100.05155546516995</v>
      </c>
      <c r="AP36" s="6">
        <f t="shared" si="32"/>
        <v>6603.9530722136469</v>
      </c>
      <c r="AQ36" s="6">
        <f t="shared" si="32"/>
        <v>12043.175500810959</v>
      </c>
      <c r="AR36" s="6">
        <f t="shared" si="32"/>
        <v>5388.7424611530023</v>
      </c>
      <c r="AT36" s="2">
        <f t="shared" si="32"/>
        <v>9.7858291048448544E-3</v>
      </c>
      <c r="AU36" s="2">
        <f t="shared" si="32"/>
        <v>3.1835194597812637E-2</v>
      </c>
      <c r="AV36" s="2">
        <f t="shared" si="32"/>
        <v>4.1971242630036723E-2</v>
      </c>
      <c r="AW36" s="2">
        <f t="shared" si="32"/>
        <v>0.41339728090363792</v>
      </c>
      <c r="AX36" s="2">
        <f t="shared" si="32"/>
        <v>0.19357925877872745</v>
      </c>
      <c r="AY36" s="25">
        <f t="shared" si="32"/>
        <v>5.8857363458902325</v>
      </c>
      <c r="AZ36" s="2">
        <f t="shared" si="32"/>
        <v>0.14614565083618797</v>
      </c>
      <c r="BA36" s="18">
        <f t="shared" si="32"/>
        <v>26484.534436786562</v>
      </c>
      <c r="BB36" s="18">
        <f t="shared" si="32"/>
        <v>19369.397084318389</v>
      </c>
      <c r="BC36" s="9">
        <f t="shared" si="32"/>
        <v>0.8043149073018605</v>
      </c>
      <c r="BD36" s="9">
        <f t="shared" si="32"/>
        <v>0.74659959712909885</v>
      </c>
      <c r="BE36" s="9">
        <f t="shared" si="32"/>
        <v>1.5161826859254124</v>
      </c>
      <c r="BF36" s="9">
        <f t="shared" si="32"/>
        <v>3.3764990857740989</v>
      </c>
      <c r="BG36" s="9">
        <f t="shared" si="32"/>
        <v>3.1184831013865257</v>
      </c>
      <c r="BH36" s="9">
        <f t="shared" si="32"/>
        <v>0.73754024638207494</v>
      </c>
      <c r="BI36" s="9">
        <f t="shared" si="32"/>
        <v>0.13163668447663057</v>
      </c>
      <c r="BJ36" s="9">
        <f t="shared" si="32"/>
        <v>0.27475073363565983</v>
      </c>
      <c r="BK36" s="9">
        <f t="shared" si="32"/>
        <v>0.69956983928220584</v>
      </c>
      <c r="BL36" s="9">
        <f t="shared" si="32"/>
        <v>1.0138468855963101</v>
      </c>
      <c r="BM36" s="9">
        <f t="shared" si="32"/>
        <v>1.8873219570951152</v>
      </c>
      <c r="BN36" s="9">
        <f t="shared" si="32"/>
        <v>2.9697239433040465</v>
      </c>
      <c r="BO36" s="9">
        <f t="shared" si="32"/>
        <v>4.2836542390385963</v>
      </c>
      <c r="BP36" s="9">
        <f t="shared" si="32"/>
        <v>5.47143073980045</v>
      </c>
      <c r="BQ36" s="9">
        <f t="shared" ref="BQ36:CH36" si="33">STDEV(BQ4,BQ6,BQ14)</f>
        <v>5.4659652892543447</v>
      </c>
      <c r="BR36" s="9">
        <f t="shared" si="33"/>
        <v>4.9815267964082182</v>
      </c>
      <c r="BS36" s="9">
        <f t="shared" si="33"/>
        <v>5.1841641026624261</v>
      </c>
      <c r="BT36" s="9">
        <f t="shared" si="33"/>
        <v>8.8037388229849842</v>
      </c>
      <c r="BU36" s="9">
        <f t="shared" si="33"/>
        <v>13.339342096220458</v>
      </c>
      <c r="BV36" s="9">
        <f t="shared" si="33"/>
        <v>17.624354500047183</v>
      </c>
      <c r="BW36" s="9">
        <f t="shared" si="33"/>
        <v>20.011026463427616</v>
      </c>
      <c r="BX36" s="9">
        <f t="shared" si="33"/>
        <v>20.367475491659093</v>
      </c>
      <c r="BY36" s="9">
        <f t="shared" si="33"/>
        <v>18.994016790908997</v>
      </c>
      <c r="BZ36" s="9">
        <f t="shared" si="33"/>
        <v>15.840720030352038</v>
      </c>
      <c r="CA36" s="9">
        <f t="shared" si="33"/>
        <v>11.194042426814974</v>
      </c>
      <c r="CB36" s="9">
        <f t="shared" si="33"/>
        <v>5.5080453704860997</v>
      </c>
      <c r="CC36" s="9">
        <f t="shared" si="33"/>
        <v>3.424553701335888</v>
      </c>
      <c r="CD36" s="9">
        <f t="shared" si="33"/>
        <v>3.6500407299097346</v>
      </c>
      <c r="CE36" s="9">
        <f t="shared" si="33"/>
        <v>4.0935220878032883</v>
      </c>
      <c r="CF36" s="9">
        <f t="shared" si="33"/>
        <v>4.0815031655016503</v>
      </c>
      <c r="CG36" s="9">
        <f t="shared" si="33"/>
        <v>3.8825667055870849</v>
      </c>
      <c r="CH36" s="9">
        <f t="shared" si="33"/>
        <v>3.490855724603934</v>
      </c>
    </row>
    <row r="37" spans="1:86" s="37" customFormat="1">
      <c r="A37" s="53"/>
      <c r="B37" s="53"/>
      <c r="C37" s="53"/>
      <c r="D37" s="53"/>
      <c r="E37" s="53"/>
      <c r="F37" s="54" t="s">
        <v>493</v>
      </c>
      <c r="G37" s="55">
        <f>G36/G35</f>
        <v>4.5916024934445049E-2</v>
      </c>
      <c r="H37" s="55">
        <f t="shared" ref="H37:BP37" si="34">H36/H35</f>
        <v>0.79144846399521551</v>
      </c>
      <c r="I37" s="55">
        <f t="shared" si="34"/>
        <v>2.4917989094321288E-2</v>
      </c>
      <c r="J37" s="55">
        <f t="shared" si="34"/>
        <v>5.7699859818479381E-2</v>
      </c>
      <c r="K37" s="55">
        <f t="shared" si="34"/>
        <v>0.51641709323443996</v>
      </c>
      <c r="L37" s="55">
        <f t="shared" si="34"/>
        <v>0.21319224637009032</v>
      </c>
      <c r="M37" s="55">
        <f t="shared" si="34"/>
        <v>9.112664666411939E-2</v>
      </c>
      <c r="N37" s="55">
        <f t="shared" si="34"/>
        <v>0.1280871221295202</v>
      </c>
      <c r="O37" s="55">
        <f t="shared" si="34"/>
        <v>0.13575548525143044</v>
      </c>
      <c r="P37" s="55">
        <f t="shared" si="34"/>
        <v>0.12240792460606383</v>
      </c>
      <c r="Q37" s="55">
        <f t="shared" si="34"/>
        <v>5.9191637706737077E-2</v>
      </c>
      <c r="R37" s="55">
        <f t="shared" si="34"/>
        <v>1.4133695792010708</v>
      </c>
      <c r="S37" s="55">
        <f t="shared" si="34"/>
        <v>0.10083477640092732</v>
      </c>
      <c r="T37" s="55">
        <f t="shared" si="34"/>
        <v>0.47051798009744855</v>
      </c>
      <c r="U37" s="55">
        <f t="shared" si="34"/>
        <v>0.25055931493521588</v>
      </c>
      <c r="V37" s="55">
        <f t="shared" si="34"/>
        <v>0.44657644130940194</v>
      </c>
      <c r="W37" s="55">
        <f t="shared" si="34"/>
        <v>0.25723772957117913</v>
      </c>
      <c r="X37" s="55">
        <f t="shared" si="34"/>
        <v>0.25146669061986254</v>
      </c>
      <c r="Y37" s="55">
        <f t="shared" si="34"/>
        <v>0.20604419564151824</v>
      </c>
      <c r="Z37" s="55">
        <f t="shared" si="34"/>
        <v>0.18119168366707447</v>
      </c>
      <c r="AA37" s="55">
        <f t="shared" si="34"/>
        <v>0.14910615892700735</v>
      </c>
      <c r="AB37" s="55">
        <f t="shared" si="34"/>
        <v>0.1376327996181374</v>
      </c>
      <c r="AC37" s="55">
        <f t="shared" si="34"/>
        <v>0.24026642170626605</v>
      </c>
      <c r="AD37" s="55"/>
      <c r="AE37" s="55">
        <f t="shared" si="34"/>
        <v>0.10301075998363411</v>
      </c>
      <c r="AF37" s="55">
        <f t="shared" si="34"/>
        <v>0.19486333589441943</v>
      </c>
      <c r="AG37" s="55">
        <f t="shared" si="34"/>
        <v>0.17247571429050673</v>
      </c>
      <c r="AH37" s="55">
        <f t="shared" si="34"/>
        <v>0.15189295300091027</v>
      </c>
      <c r="AI37" s="55">
        <f t="shared" si="34"/>
        <v>0.15131875542327974</v>
      </c>
      <c r="AJ37" s="55">
        <f t="shared" si="34"/>
        <v>0.22842104112249056</v>
      </c>
      <c r="AK37" s="55"/>
      <c r="AL37" s="55">
        <f t="shared" si="34"/>
        <v>0.10407099635000927</v>
      </c>
      <c r="AM37" s="55">
        <f t="shared" si="34"/>
        <v>0.1790279687896785</v>
      </c>
      <c r="AN37" s="55">
        <f t="shared" si="34"/>
        <v>0.12795288110372738</v>
      </c>
      <c r="AO37" s="55">
        <f t="shared" si="34"/>
        <v>0.15157397462318425</v>
      </c>
      <c r="AP37" s="55">
        <f t="shared" si="34"/>
        <v>0.26090618815932803</v>
      </c>
      <c r="AQ37" s="55">
        <f t="shared" si="34"/>
        <v>0.5325712414015501</v>
      </c>
      <c r="AR37" s="55">
        <f t="shared" si="34"/>
        <v>0.64653116805330724</v>
      </c>
      <c r="AS37" s="55"/>
      <c r="AT37" s="55">
        <f t="shared" si="34"/>
        <v>1.1311354747313233E-2</v>
      </c>
      <c r="AU37" s="55">
        <f t="shared" si="34"/>
        <v>3.4393661537887671E-2</v>
      </c>
      <c r="AV37" s="55">
        <f t="shared" si="34"/>
        <v>4.6135073075406888E-2</v>
      </c>
      <c r="AW37" s="55">
        <f t="shared" si="34"/>
        <v>0.16749220282473962</v>
      </c>
      <c r="AX37" s="55">
        <f t="shared" si="34"/>
        <v>7.9692713908234777E-2</v>
      </c>
      <c r="AY37" s="55">
        <f t="shared" si="34"/>
        <v>4.1588158073336497E-2</v>
      </c>
      <c r="AZ37" s="55">
        <f t="shared" si="34"/>
        <v>0.17157239361610541</v>
      </c>
      <c r="BA37" s="55">
        <f t="shared" si="34"/>
        <v>6.8396902101191565E-2</v>
      </c>
      <c r="BB37" s="55">
        <f t="shared" si="34"/>
        <v>0.20989332800530536</v>
      </c>
      <c r="BC37" s="55">
        <f t="shared" si="34"/>
        <v>0.665144138604985</v>
      </c>
      <c r="BD37" s="55">
        <f t="shared" si="34"/>
        <v>0.37833033086393691</v>
      </c>
      <c r="BE37" s="55">
        <f t="shared" si="34"/>
        <v>0.50615683827814317</v>
      </c>
      <c r="BF37" s="55">
        <f t="shared" si="34"/>
        <v>0.55934684358231102</v>
      </c>
      <c r="BG37" s="55">
        <f t="shared" si="34"/>
        <v>0.52513565890889169</v>
      </c>
      <c r="BH37" s="55">
        <f t="shared" si="34"/>
        <v>0.32018197486816813</v>
      </c>
      <c r="BI37" s="55">
        <f t="shared" si="34"/>
        <v>7.6662212146427447E-2</v>
      </c>
      <c r="BJ37" s="55">
        <f t="shared" si="34"/>
        <v>0.1027929170546593</v>
      </c>
      <c r="BK37" s="55">
        <f t="shared" si="34"/>
        <v>0.21686798030109633</v>
      </c>
      <c r="BL37" s="55">
        <f t="shared" si="34"/>
        <v>0.34791757349626812</v>
      </c>
      <c r="BM37" s="55">
        <f t="shared" si="34"/>
        <v>0.65272358353233095</v>
      </c>
      <c r="BN37" s="55">
        <f t="shared" si="34"/>
        <v>0.87823113425687349</v>
      </c>
      <c r="BO37" s="55">
        <f t="shared" si="34"/>
        <v>0.78972334819555834</v>
      </c>
      <c r="BP37" s="55">
        <f t="shared" si="34"/>
        <v>0.56376822303176988</v>
      </c>
      <c r="BQ37" s="55">
        <f t="shared" ref="BQ37:CH37" si="35">BQ36/BQ35</f>
        <v>0.35624830798930757</v>
      </c>
      <c r="BR37" s="55">
        <f t="shared" si="35"/>
        <v>0.22338818751120562</v>
      </c>
      <c r="BS37" s="55">
        <f t="shared" si="35"/>
        <v>0.16361072891350725</v>
      </c>
      <c r="BT37" s="55">
        <f t="shared" si="35"/>
        <v>0.20288353645555474</v>
      </c>
      <c r="BU37" s="55">
        <f t="shared" si="35"/>
        <v>0.24144348507049915</v>
      </c>
      <c r="BV37" s="55">
        <f t="shared" si="35"/>
        <v>0.26167931022094487</v>
      </c>
      <c r="BW37" s="55">
        <f t="shared" si="35"/>
        <v>0.25998441555133245</v>
      </c>
      <c r="BX37" s="55">
        <f t="shared" si="35"/>
        <v>0.2421978581798673</v>
      </c>
      <c r="BY37" s="55">
        <f t="shared" si="35"/>
        <v>0.21472631245784948</v>
      </c>
      <c r="BZ37" s="55">
        <f t="shared" si="35"/>
        <v>0.1758958178933884</v>
      </c>
      <c r="CA37" s="55">
        <f t="shared" si="35"/>
        <v>0.13643462311183241</v>
      </c>
      <c r="CB37" s="55">
        <f t="shared" si="35"/>
        <v>8.5494492425688601E-2</v>
      </c>
      <c r="CC37" s="55">
        <f t="shared" si="35"/>
        <v>7.0520319733832035E-2</v>
      </c>
      <c r="CD37" s="55">
        <f t="shared" si="35"/>
        <v>0.10594107216711611</v>
      </c>
      <c r="CE37" s="55">
        <f t="shared" si="35"/>
        <v>0.16282925677984014</v>
      </c>
      <c r="CF37" s="55">
        <f t="shared" si="35"/>
        <v>0.1979323284612865</v>
      </c>
      <c r="CG37" s="55">
        <f t="shared" si="35"/>
        <v>0.22761550820576704</v>
      </c>
      <c r="CH37" s="55">
        <f t="shared" si="35"/>
        <v>0.24157836740003141</v>
      </c>
    </row>
    <row r="38" spans="1:86">
      <c r="A38" s="20"/>
      <c r="B38" s="20"/>
      <c r="C38" s="20" t="s">
        <v>500</v>
      </c>
      <c r="D38" s="20" t="s">
        <v>505</v>
      </c>
      <c r="E38" s="20"/>
      <c r="F38" s="22" t="s">
        <v>502</v>
      </c>
      <c r="G38" s="9">
        <f t="shared" ref="G38" si="36">AVERAGE(G8,G10,G12)</f>
        <v>10.5159</v>
      </c>
      <c r="H38" s="9">
        <f t="shared" ref="H38:BP38" si="37">AVERAGE(H8,H10,H12)</f>
        <v>0.23972599999999999</v>
      </c>
      <c r="I38" s="9">
        <f t="shared" si="37"/>
        <v>9.9292266666666666</v>
      </c>
      <c r="J38" s="6">
        <f t="shared" si="37"/>
        <v>988.99766666666665</v>
      </c>
      <c r="K38" s="25">
        <f t="shared" si="37"/>
        <v>18.728433333333331</v>
      </c>
      <c r="L38" s="25">
        <f t="shared" si="37"/>
        <v>39.137599999999999</v>
      </c>
      <c r="M38" s="9">
        <f t="shared" si="37"/>
        <v>16.582750000000001</v>
      </c>
      <c r="N38" s="9">
        <f t="shared" si="37"/>
        <v>0.47950133333333333</v>
      </c>
      <c r="O38" s="9">
        <f t="shared" si="37"/>
        <v>0.45547766666666661</v>
      </c>
      <c r="P38" s="25">
        <f t="shared" si="37"/>
        <v>73.976766666666663</v>
      </c>
      <c r="Q38" s="25">
        <f t="shared" si="37"/>
        <v>203.79100000000003</v>
      </c>
      <c r="R38" s="25">
        <f t="shared" si="37"/>
        <v>13.221366666666674</v>
      </c>
      <c r="S38" s="25">
        <f t="shared" si="37"/>
        <v>13.4024</v>
      </c>
      <c r="T38" s="2">
        <f t="shared" si="37"/>
        <v>3.8073866666666665</v>
      </c>
      <c r="U38" s="2">
        <f t="shared" si="37"/>
        <v>3.9436100000000002E-2</v>
      </c>
      <c r="V38" s="2">
        <f t="shared" si="37"/>
        <v>2.14133</v>
      </c>
      <c r="W38" s="109">
        <f t="shared" si="37"/>
        <v>7.8134100000000012E-2</v>
      </c>
      <c r="X38" s="109">
        <f t="shared" si="37"/>
        <v>7.9669450000000003E-2</v>
      </c>
      <c r="Y38" s="109">
        <f t="shared" si="37"/>
        <v>0.12527549999999998</v>
      </c>
      <c r="Z38" s="109">
        <f t="shared" si="37"/>
        <v>0.15660099999999999</v>
      </c>
      <c r="AA38" s="109">
        <f t="shared" si="37"/>
        <v>0.19605050000000002</v>
      </c>
      <c r="AB38" s="109">
        <f t="shared" si="37"/>
        <v>0.26896100000000001</v>
      </c>
      <c r="AC38" s="109">
        <f t="shared" si="37"/>
        <v>0.50357750000000001</v>
      </c>
      <c r="AE38" s="68">
        <f t="shared" si="37"/>
        <v>2.9767778975296793</v>
      </c>
      <c r="AF38" s="9">
        <f t="shared" si="37"/>
        <v>9.123053333333335E-2</v>
      </c>
      <c r="AG38" s="9">
        <f t="shared" si="37"/>
        <v>0.13971799999999998</v>
      </c>
      <c r="AH38" s="9">
        <f t="shared" si="37"/>
        <v>0.17940799999999998</v>
      </c>
      <c r="AI38" s="9">
        <f t="shared" si="37"/>
        <v>0.21908066666666667</v>
      </c>
      <c r="AJ38" s="9">
        <f t="shared" si="37"/>
        <v>0.31820266666666669</v>
      </c>
      <c r="AL38" s="2">
        <f t="shared" si="37"/>
        <v>2.4714082207882417</v>
      </c>
      <c r="AM38" s="6">
        <f t="shared" si="37"/>
        <v>2020.5966666666666</v>
      </c>
      <c r="AN38" s="6">
        <f t="shared" si="37"/>
        <v>708.71966666666674</v>
      </c>
      <c r="AO38" s="6">
        <f t="shared" si="37"/>
        <v>261.60566666666671</v>
      </c>
      <c r="AP38" s="6">
        <f t="shared" si="37"/>
        <v>21065.233333333334</v>
      </c>
      <c r="AQ38" s="6">
        <f t="shared" si="37"/>
        <v>15063.38</v>
      </c>
      <c r="AR38" s="6">
        <f t="shared" si="37"/>
        <v>6894.9533333333338</v>
      </c>
      <c r="AT38" s="2">
        <f t="shared" si="37"/>
        <v>0.90330209973868492</v>
      </c>
      <c r="AU38" s="2">
        <f t="shared" si="37"/>
        <v>0.94558180117118695</v>
      </c>
      <c r="AV38" s="2">
        <f t="shared" si="37"/>
        <v>0.94782813545447764</v>
      </c>
      <c r="AW38" s="2">
        <f t="shared" si="37"/>
        <v>3.1542803660167262</v>
      </c>
      <c r="AX38" s="2">
        <f t="shared" si="37"/>
        <v>1.8396814206695995</v>
      </c>
      <c r="AY38" s="25">
        <f t="shared" si="37"/>
        <v>155.66899999999998</v>
      </c>
      <c r="AZ38" s="2">
        <f t="shared" si="37"/>
        <v>0.91386733333333348</v>
      </c>
      <c r="BA38" s="18">
        <f t="shared" si="37"/>
        <v>152255.66666666666</v>
      </c>
      <c r="BB38" s="18">
        <f t="shared" si="37"/>
        <v>39950.600000000006</v>
      </c>
      <c r="BC38" s="9">
        <f t="shared" si="37"/>
        <v>1.3180950333333332</v>
      </c>
      <c r="BD38" s="9">
        <f t="shared" si="37"/>
        <v>2.087153666666667</v>
      </c>
      <c r="BE38" s="9">
        <f t="shared" si="37"/>
        <v>3.3313933333333332</v>
      </c>
      <c r="BF38" s="9">
        <f t="shared" si="37"/>
        <v>6.3026866666666663</v>
      </c>
      <c r="BG38" s="9">
        <f t="shared" si="37"/>
        <v>5.8888066666666665</v>
      </c>
      <c r="BH38" s="9">
        <f t="shared" si="37"/>
        <v>2.2623986666666664</v>
      </c>
      <c r="BI38" s="9">
        <f t="shared" si="37"/>
        <v>1.8071407333333334</v>
      </c>
      <c r="BJ38" s="9">
        <f t="shared" si="37"/>
        <v>2.5496813333333335</v>
      </c>
      <c r="BK38" s="9">
        <f t="shared" si="37"/>
        <v>2.2802643333333337</v>
      </c>
      <c r="BL38" s="9">
        <f t="shared" si="37"/>
        <v>1.3969203333333333</v>
      </c>
      <c r="BM38" s="9">
        <f t="shared" si="37"/>
        <v>1.4111293333333332</v>
      </c>
      <c r="BN38" s="9">
        <f t="shared" si="37"/>
        <v>1.669505</v>
      </c>
      <c r="BO38" s="9">
        <f t="shared" si="37"/>
        <v>2.6331649999999995</v>
      </c>
      <c r="BP38" s="9">
        <f t="shared" si="37"/>
        <v>4.366626666666666</v>
      </c>
      <c r="BQ38" s="9">
        <f t="shared" ref="BQ38:CH38" si="38">AVERAGE(BQ8,BQ10,BQ12)</f>
        <v>6.2852433333333337</v>
      </c>
      <c r="BR38" s="9">
        <f t="shared" si="38"/>
        <v>7.9856733333333336</v>
      </c>
      <c r="BS38" s="9">
        <f t="shared" si="38"/>
        <v>10.282246666666667</v>
      </c>
      <c r="BT38" s="9">
        <f t="shared" si="38"/>
        <v>13.295076666666667</v>
      </c>
      <c r="BU38" s="9">
        <f t="shared" si="38"/>
        <v>16.723266666666664</v>
      </c>
      <c r="BV38" s="9">
        <f t="shared" si="38"/>
        <v>20.647400000000001</v>
      </c>
      <c r="BW38" s="9">
        <f t="shared" si="38"/>
        <v>24.006</v>
      </c>
      <c r="BX38" s="9">
        <f t="shared" si="38"/>
        <v>26.768366666666669</v>
      </c>
      <c r="BY38" s="9">
        <f t="shared" si="38"/>
        <v>29.123333333333335</v>
      </c>
      <c r="BZ38" s="9">
        <f t="shared" si="38"/>
        <v>31.071066666666667</v>
      </c>
      <c r="CA38" s="9">
        <f t="shared" si="38"/>
        <v>29.877266666666667</v>
      </c>
      <c r="CB38" s="9">
        <f t="shared" si="38"/>
        <v>25.541666666666668</v>
      </c>
      <c r="CC38" s="9">
        <f t="shared" si="38"/>
        <v>20.779566666666664</v>
      </c>
      <c r="CD38" s="9">
        <f t="shared" si="38"/>
        <v>15.590999999999999</v>
      </c>
      <c r="CE38" s="9">
        <f t="shared" si="38"/>
        <v>12.069733333333332</v>
      </c>
      <c r="CF38" s="9">
        <f t="shared" si="38"/>
        <v>10.221213333333333</v>
      </c>
      <c r="CG38" s="9">
        <f t="shared" si="38"/>
        <v>8.6875766666666667</v>
      </c>
      <c r="CH38" s="9">
        <f t="shared" si="38"/>
        <v>7.45845</v>
      </c>
    </row>
    <row r="39" spans="1:86">
      <c r="A39" s="20"/>
      <c r="B39" s="20"/>
      <c r="C39" s="20"/>
      <c r="D39" s="20"/>
      <c r="E39" s="20"/>
      <c r="F39" s="22" t="s">
        <v>503</v>
      </c>
      <c r="G39" s="9">
        <f t="shared" ref="G39" si="39">STDEV(G8,G10,G12)</f>
        <v>2.7474238497181358</v>
      </c>
      <c r="H39" s="9">
        <f t="shared" ref="H39:BP39" si="40">STDEV(H8,H10,H12)</f>
        <v>9.7333867605268978E-2</v>
      </c>
      <c r="I39" s="9">
        <f t="shared" si="40"/>
        <v>2.8851387488530471</v>
      </c>
      <c r="J39" s="6">
        <f t="shared" si="40"/>
        <v>106.17523395940005</v>
      </c>
      <c r="K39" s="25">
        <f t="shared" si="40"/>
        <v>4.4797368910833848</v>
      </c>
      <c r="L39" s="25">
        <f t="shared" si="40"/>
        <v>3.7741630979596006</v>
      </c>
      <c r="M39" s="9">
        <f t="shared" si="40"/>
        <v>3.1871423948421236</v>
      </c>
      <c r="N39" s="9">
        <f t="shared" si="40"/>
        <v>0.14194316572605165</v>
      </c>
      <c r="O39" s="9">
        <f t="shared" si="40"/>
        <v>0.1414925647740311</v>
      </c>
      <c r="P39" s="25">
        <f t="shared" si="40"/>
        <v>9.9329045129476601</v>
      </c>
      <c r="Q39" s="25">
        <f t="shared" si="40"/>
        <v>26.868385902394383</v>
      </c>
      <c r="R39" s="25">
        <f t="shared" si="40"/>
        <v>238.86936065997108</v>
      </c>
      <c r="S39" s="25">
        <f t="shared" si="40"/>
        <v>0.41528085677045112</v>
      </c>
      <c r="T39" s="2">
        <f t="shared" si="40"/>
        <v>1.956765643232049</v>
      </c>
      <c r="U39" s="2">
        <f t="shared" si="40"/>
        <v>1.0074159278570076E-2</v>
      </c>
      <c r="V39" s="2">
        <f t="shared" si="40"/>
        <v>1.0094731027620307</v>
      </c>
      <c r="W39" s="109">
        <f t="shared" si="40"/>
        <v>2.1781434444957861E-2</v>
      </c>
      <c r="X39" s="109">
        <f t="shared" si="40"/>
        <v>2.2579970132951835E-2</v>
      </c>
      <c r="Y39" s="109">
        <f t="shared" si="40"/>
        <v>3.4289729140079217E-2</v>
      </c>
      <c r="Z39" s="109">
        <f t="shared" si="40"/>
        <v>4.004769965928151E-2</v>
      </c>
      <c r="AA39" s="109">
        <f t="shared" si="40"/>
        <v>4.1833144281777111E-2</v>
      </c>
      <c r="AB39" s="109">
        <f t="shared" si="40"/>
        <v>3.9252911637227661E-2</v>
      </c>
      <c r="AC39" s="109">
        <f t="shared" si="40"/>
        <v>2.3734039110526513E-2</v>
      </c>
      <c r="AE39" s="68">
        <f t="shared" si="40"/>
        <v>0.30553521406554479</v>
      </c>
      <c r="AF39" s="9">
        <f t="shared" si="40"/>
        <v>1.7181019732639E-2</v>
      </c>
      <c r="AG39" s="9">
        <f t="shared" si="40"/>
        <v>2.2799266062748662E-2</v>
      </c>
      <c r="AH39" s="9">
        <f t="shared" si="40"/>
        <v>2.0586636126380627E-2</v>
      </c>
      <c r="AI39" s="9">
        <f t="shared" si="40"/>
        <v>1.9603920330722967E-2</v>
      </c>
      <c r="AJ39" s="9">
        <f t="shared" si="40"/>
        <v>4.7957816509233309E-2</v>
      </c>
      <c r="AL39" s="2">
        <f t="shared" si="40"/>
        <v>0.37272745812661168</v>
      </c>
      <c r="AM39" s="6">
        <f t="shared" si="40"/>
        <v>21.326531207238947</v>
      </c>
      <c r="AN39" s="6">
        <f t="shared" si="40"/>
        <v>163.16004735330654</v>
      </c>
      <c r="AO39" s="6">
        <f t="shared" si="40"/>
        <v>94.981341727379913</v>
      </c>
      <c r="AP39" s="6">
        <f t="shared" si="40"/>
        <v>8399.9575959247159</v>
      </c>
      <c r="AQ39" s="6">
        <f t="shared" si="40"/>
        <v>6821.3044908726988</v>
      </c>
      <c r="AR39" s="6">
        <f t="shared" si="40"/>
        <v>4281.6102709416855</v>
      </c>
      <c r="AT39" s="2">
        <f t="shared" si="40"/>
        <v>3.8360865751498122E-2</v>
      </c>
      <c r="AU39" s="2">
        <f t="shared" si="40"/>
        <v>3.4404269390670421E-2</v>
      </c>
      <c r="AV39" s="2">
        <f t="shared" si="40"/>
        <v>4.2938499423336787E-2</v>
      </c>
      <c r="AW39" s="2">
        <f t="shared" si="40"/>
        <v>0.58978905648090252</v>
      </c>
      <c r="AX39" s="2">
        <f t="shared" si="40"/>
        <v>0.36368777387218204</v>
      </c>
      <c r="AY39" s="25">
        <f t="shared" si="40"/>
        <v>18.118851205305489</v>
      </c>
      <c r="AZ39" s="2">
        <f t="shared" si="40"/>
        <v>1.9717553355660885E-2</v>
      </c>
      <c r="BA39" s="18">
        <f t="shared" si="40"/>
        <v>23217.041593048325</v>
      </c>
      <c r="BB39" s="18">
        <f t="shared" si="40"/>
        <v>14140.759611491876</v>
      </c>
      <c r="BC39" s="9">
        <f t="shared" si="40"/>
        <v>1.2749120110258603</v>
      </c>
      <c r="BD39" s="9">
        <f t="shared" si="40"/>
        <v>1.1945676531156915</v>
      </c>
      <c r="BE39" s="9">
        <f t="shared" si="40"/>
        <v>0.868990633225316</v>
      </c>
      <c r="BF39" s="9">
        <f t="shared" si="40"/>
        <v>0.4382647042979087</v>
      </c>
      <c r="BG39" s="9">
        <f t="shared" si="40"/>
        <v>0.76829245124062884</v>
      </c>
      <c r="BH39" s="9">
        <f t="shared" si="40"/>
        <v>1.4261983144658861</v>
      </c>
      <c r="BI39" s="9">
        <f t="shared" si="40"/>
        <v>1.4843888438713126</v>
      </c>
      <c r="BJ39" s="9">
        <f t="shared" si="40"/>
        <v>2.2412444881773466</v>
      </c>
      <c r="BK39" s="9">
        <f t="shared" si="40"/>
        <v>1.8182170494460588</v>
      </c>
      <c r="BL39" s="9">
        <f t="shared" si="40"/>
        <v>1.7510552570499689</v>
      </c>
      <c r="BM39" s="9">
        <f t="shared" si="40"/>
        <v>1.844737227008046</v>
      </c>
      <c r="BN39" s="9">
        <f t="shared" si="40"/>
        <v>1.4483715888110342</v>
      </c>
      <c r="BO39" s="9">
        <f t="shared" si="40"/>
        <v>1.5429804461901007</v>
      </c>
      <c r="BP39" s="9">
        <f t="shared" si="40"/>
        <v>2.0401730044859758</v>
      </c>
      <c r="BQ39" s="9">
        <f t="shared" ref="BQ39:CH39" si="41">STDEV(BQ8,BQ10,BQ12)</f>
        <v>2.5746235501978405</v>
      </c>
      <c r="BR39" s="9">
        <f t="shared" si="41"/>
        <v>3.096001324940501</v>
      </c>
      <c r="BS39" s="9">
        <f t="shared" si="41"/>
        <v>3.6104818363389302</v>
      </c>
      <c r="BT39" s="9">
        <f t="shared" si="41"/>
        <v>4.0414594944937079</v>
      </c>
      <c r="BU39" s="9">
        <f t="shared" si="41"/>
        <v>4.2588838236483317</v>
      </c>
      <c r="BV39" s="9">
        <f t="shared" si="41"/>
        <v>4.3081253788625808</v>
      </c>
      <c r="BW39" s="9">
        <f t="shared" si="41"/>
        <v>4.3575126930394514</v>
      </c>
      <c r="BX39" s="9">
        <f t="shared" si="41"/>
        <v>4.3972957670974653</v>
      </c>
      <c r="BY39" s="9">
        <f t="shared" si="41"/>
        <v>4.4368175580401434</v>
      </c>
      <c r="BZ39" s="9">
        <f t="shared" si="41"/>
        <v>4.5878946504179119</v>
      </c>
      <c r="CA39" s="9">
        <f t="shared" si="41"/>
        <v>4.4025392733436579</v>
      </c>
      <c r="CB39" s="9">
        <f t="shared" si="41"/>
        <v>3.983005068203338</v>
      </c>
      <c r="CC39" s="9">
        <f t="shared" si="41"/>
        <v>3.5933445428087567</v>
      </c>
      <c r="CD39" s="9">
        <f t="shared" si="41"/>
        <v>2.9906995686628375</v>
      </c>
      <c r="CE39" s="9">
        <f t="shared" si="41"/>
        <v>2.6271388169134475</v>
      </c>
      <c r="CF39" s="9">
        <f t="shared" si="41"/>
        <v>2.4311842839516182</v>
      </c>
      <c r="CG39" s="9">
        <f t="shared" si="41"/>
        <v>2.2271938498777635</v>
      </c>
      <c r="CH39" s="9">
        <f t="shared" si="41"/>
        <v>1.9938662357590604</v>
      </c>
    </row>
    <row r="40" spans="1:86" s="37" customFormat="1">
      <c r="A40" s="53"/>
      <c r="B40" s="53"/>
      <c r="C40" s="53"/>
      <c r="D40" s="53"/>
      <c r="E40" s="53"/>
      <c r="F40" s="54" t="s">
        <v>493</v>
      </c>
      <c r="G40" s="55">
        <f>G39/G38</f>
        <v>0.26126378623970709</v>
      </c>
      <c r="H40" s="55">
        <f t="shared" ref="H40:BP40" si="42">H39/H38</f>
        <v>0.40602132269870178</v>
      </c>
      <c r="I40" s="55">
        <f t="shared" si="42"/>
        <v>0.29057033802428189</v>
      </c>
      <c r="J40" s="55">
        <f t="shared" si="42"/>
        <v>0.10735640491170695</v>
      </c>
      <c r="K40" s="55">
        <f t="shared" si="42"/>
        <v>0.23919442760384221</v>
      </c>
      <c r="L40" s="55">
        <f t="shared" si="42"/>
        <v>9.6433176739493504E-2</v>
      </c>
      <c r="M40" s="55">
        <f t="shared" si="42"/>
        <v>0.19219625181843322</v>
      </c>
      <c r="N40" s="55">
        <f t="shared" si="42"/>
        <v>0.29602246304365848</v>
      </c>
      <c r="O40" s="55">
        <f t="shared" si="42"/>
        <v>0.31064654785276219</v>
      </c>
      <c r="P40" s="55">
        <f t="shared" si="42"/>
        <v>0.13427059549256223</v>
      </c>
      <c r="Q40" s="55">
        <f t="shared" si="42"/>
        <v>0.13184284832202786</v>
      </c>
      <c r="R40" s="55">
        <f t="shared" si="42"/>
        <v>18.066919001815567</v>
      </c>
      <c r="S40" s="55">
        <f t="shared" si="42"/>
        <v>3.0985559061843485E-2</v>
      </c>
      <c r="T40" s="55">
        <f t="shared" si="42"/>
        <v>0.51393930129644017</v>
      </c>
      <c r="U40" s="55">
        <f t="shared" si="42"/>
        <v>0.25545526252773665</v>
      </c>
      <c r="V40" s="55">
        <f t="shared" si="42"/>
        <v>0.47142341570987695</v>
      </c>
      <c r="W40" s="55">
        <f t="shared" si="42"/>
        <v>0.27876988977869915</v>
      </c>
      <c r="X40" s="55">
        <f t="shared" si="42"/>
        <v>0.28342068550682642</v>
      </c>
      <c r="Y40" s="55">
        <f t="shared" si="42"/>
        <v>0.27371456621669216</v>
      </c>
      <c r="Z40" s="55">
        <f t="shared" si="42"/>
        <v>0.25573080414097937</v>
      </c>
      <c r="AA40" s="55">
        <f t="shared" si="42"/>
        <v>0.21337943173711421</v>
      </c>
      <c r="AB40" s="55">
        <f t="shared" si="42"/>
        <v>0.14594276358738872</v>
      </c>
      <c r="AC40" s="55">
        <f t="shared" si="42"/>
        <v>4.7130856939649829E-2</v>
      </c>
      <c r="AD40" s="55"/>
      <c r="AE40" s="55">
        <f t="shared" si="42"/>
        <v>0.10263957358696377</v>
      </c>
      <c r="AF40" s="55">
        <f t="shared" si="42"/>
        <v>0.18832532382403039</v>
      </c>
      <c r="AG40" s="55">
        <f t="shared" si="42"/>
        <v>0.16318059278510047</v>
      </c>
      <c r="AH40" s="55">
        <f t="shared" si="42"/>
        <v>0.1147475927850521</v>
      </c>
      <c r="AI40" s="55">
        <f t="shared" si="42"/>
        <v>8.9482657821881278E-2</v>
      </c>
      <c r="AJ40" s="55">
        <f t="shared" si="42"/>
        <v>0.15071469077118557</v>
      </c>
      <c r="AK40" s="55"/>
      <c r="AL40" s="55">
        <f t="shared" si="42"/>
        <v>0.15081582030496457</v>
      </c>
      <c r="AM40" s="55">
        <f t="shared" si="42"/>
        <v>1.0554571112116527E-2</v>
      </c>
      <c r="AN40" s="55">
        <f t="shared" si="42"/>
        <v>0.23021803264004223</v>
      </c>
      <c r="AO40" s="55">
        <f t="shared" si="42"/>
        <v>0.36307065874227967</v>
      </c>
      <c r="AP40" s="55">
        <f t="shared" si="42"/>
        <v>0.39875929513834246</v>
      </c>
      <c r="AQ40" s="55">
        <f t="shared" si="42"/>
        <v>0.45284023179875293</v>
      </c>
      <c r="AR40" s="55">
        <f t="shared" si="42"/>
        <v>0.6209774111512022</v>
      </c>
      <c r="AS40" s="55"/>
      <c r="AT40" s="55">
        <f t="shared" si="42"/>
        <v>4.2467371395013345E-2</v>
      </c>
      <c r="AU40" s="55">
        <f t="shared" si="42"/>
        <v>3.6384233863276216E-2</v>
      </c>
      <c r="AV40" s="55">
        <f t="shared" si="42"/>
        <v>4.5301988638212401E-2</v>
      </c>
      <c r="AW40" s="55">
        <f t="shared" si="42"/>
        <v>0.1869805432754531</v>
      </c>
      <c r="AX40" s="55">
        <f t="shared" si="42"/>
        <v>0.19769062718468314</v>
      </c>
      <c r="AY40" s="55">
        <f t="shared" si="42"/>
        <v>0.11639344510021579</v>
      </c>
      <c r="AZ40" s="55">
        <f t="shared" si="42"/>
        <v>2.1575947226104536E-2</v>
      </c>
      <c r="BA40" s="55">
        <f t="shared" si="42"/>
        <v>0.15248720853114384</v>
      </c>
      <c r="BB40" s="55">
        <f t="shared" si="42"/>
        <v>0.35395612610303412</v>
      </c>
      <c r="BC40" s="55">
        <f t="shared" si="42"/>
        <v>0.96723830891140883</v>
      </c>
      <c r="BD40" s="55">
        <f t="shared" si="42"/>
        <v>0.57234293391703206</v>
      </c>
      <c r="BE40" s="55">
        <f t="shared" si="42"/>
        <v>0.26084900408797401</v>
      </c>
      <c r="BF40" s="55">
        <f t="shared" si="42"/>
        <v>6.9536172028950946E-2</v>
      </c>
      <c r="BG40" s="55">
        <f t="shared" si="42"/>
        <v>0.13046657747986784</v>
      </c>
      <c r="BH40" s="55">
        <f t="shared" si="42"/>
        <v>0.6303921300339137</v>
      </c>
      <c r="BI40" s="55">
        <f t="shared" si="42"/>
        <v>0.82140190660929113</v>
      </c>
      <c r="BJ40" s="55">
        <f t="shared" si="42"/>
        <v>0.87902925705905721</v>
      </c>
      <c r="BK40" s="55">
        <f t="shared" si="42"/>
        <v>0.79737117441474625</v>
      </c>
      <c r="BL40" s="55">
        <f t="shared" si="42"/>
        <v>1.2535111811792432</v>
      </c>
      <c r="BM40" s="55">
        <f t="shared" si="42"/>
        <v>1.3072772165046385</v>
      </c>
      <c r="BN40" s="55">
        <f t="shared" si="42"/>
        <v>0.86754552326050793</v>
      </c>
      <c r="BO40" s="55">
        <f t="shared" si="42"/>
        <v>0.58597939976799818</v>
      </c>
      <c r="BP40" s="55">
        <f t="shared" si="42"/>
        <v>0.46721947174004103</v>
      </c>
      <c r="BQ40" s="55">
        <f t="shared" ref="BQ40:CH40" si="43">BQ39/BQ38</f>
        <v>0.40962989237719893</v>
      </c>
      <c r="BR40" s="55">
        <f t="shared" si="43"/>
        <v>0.38769446178287209</v>
      </c>
      <c r="BS40" s="55">
        <f t="shared" si="43"/>
        <v>0.3511374462590468</v>
      </c>
      <c r="BT40" s="55">
        <f t="shared" si="43"/>
        <v>0.30398166146919858</v>
      </c>
      <c r="BU40" s="55">
        <f t="shared" si="43"/>
        <v>0.25466817629221161</v>
      </c>
      <c r="BV40" s="55">
        <f t="shared" si="43"/>
        <v>0.20865219731600979</v>
      </c>
      <c r="BW40" s="55">
        <f t="shared" si="43"/>
        <v>0.18151764946427773</v>
      </c>
      <c r="BX40" s="55">
        <f t="shared" si="43"/>
        <v>0.16427209855030869</v>
      </c>
      <c r="BY40" s="55">
        <f t="shared" si="43"/>
        <v>0.15234580146641216</v>
      </c>
      <c r="BZ40" s="55">
        <f t="shared" si="43"/>
        <v>0.14765809940280705</v>
      </c>
      <c r="CA40" s="55">
        <f t="shared" si="43"/>
        <v>0.1473541513171773</v>
      </c>
      <c r="CB40" s="55">
        <f t="shared" si="43"/>
        <v>0.15594147085951077</v>
      </c>
      <c r="CC40" s="55">
        <f t="shared" si="43"/>
        <v>0.17292682761152015</v>
      </c>
      <c r="CD40" s="55">
        <f t="shared" si="43"/>
        <v>0.19182217745255836</v>
      </c>
      <c r="CE40" s="55">
        <f t="shared" si="43"/>
        <v>0.21766336872232314</v>
      </c>
      <c r="CF40" s="55">
        <f t="shared" si="43"/>
        <v>0.23785672059334295</v>
      </c>
      <c r="CG40" s="55">
        <f t="shared" si="43"/>
        <v>0.2563653749869369</v>
      </c>
      <c r="CH40" s="55">
        <f t="shared" si="43"/>
        <v>0.26732983874116745</v>
      </c>
    </row>
    <row r="41" spans="1:86">
      <c r="A41" s="20"/>
      <c r="B41" s="20"/>
      <c r="C41" s="20" t="s">
        <v>506</v>
      </c>
      <c r="D41" s="20" t="s">
        <v>501</v>
      </c>
      <c r="E41" s="20"/>
      <c r="F41" s="22" t="s">
        <v>502</v>
      </c>
      <c r="G41" s="9">
        <f>AVERAGE(G15,G17,G19,G21,G23)</f>
        <v>9.3216900000000003</v>
      </c>
      <c r="H41" s="9">
        <f t="shared" ref="H41:BP41" si="44">AVERAGE(H15,H17,H19,H21,H23)</f>
        <v>0.8376768</v>
      </c>
      <c r="I41" s="9">
        <f t="shared" si="44"/>
        <v>10.686975999999998</v>
      </c>
      <c r="J41" s="6">
        <f t="shared" si="44"/>
        <v>2224.8040000000001</v>
      </c>
      <c r="K41" s="25">
        <f t="shared" si="44"/>
        <v>125.70840000000001</v>
      </c>
      <c r="L41" s="25">
        <f t="shared" si="44"/>
        <v>92.260640000000009</v>
      </c>
      <c r="M41" s="9">
        <f t="shared" si="44"/>
        <v>17.686719999999998</v>
      </c>
      <c r="N41" s="9">
        <f t="shared" si="44"/>
        <v>1.5464300000000002</v>
      </c>
      <c r="O41" s="9">
        <f t="shared" si="44"/>
        <v>1.4289960000000002</v>
      </c>
      <c r="P41" s="25">
        <f t="shared" si="44"/>
        <v>168.06819999999999</v>
      </c>
      <c r="Q41" s="25">
        <f t="shared" si="44"/>
        <v>61.789600000000007</v>
      </c>
      <c r="R41" s="25">
        <f t="shared" si="44"/>
        <v>98.682820000000007</v>
      </c>
      <c r="S41" s="25">
        <f t="shared" si="44"/>
        <v>13.426160000000001</v>
      </c>
      <c r="T41" s="2">
        <f t="shared" si="44"/>
        <v>14.873257999999998</v>
      </c>
      <c r="U41" s="2">
        <f t="shared" si="44"/>
        <v>0.87766339999999998</v>
      </c>
      <c r="V41" s="2">
        <f t="shared" si="44"/>
        <v>10.17876</v>
      </c>
      <c r="W41" s="109">
        <f t="shared" si="44"/>
        <v>1.5269591999999998</v>
      </c>
      <c r="X41" s="109">
        <f t="shared" si="44"/>
        <v>1.5180529999999999</v>
      </c>
      <c r="Y41" s="109">
        <f t="shared" si="44"/>
        <v>1.8639499999999998</v>
      </c>
      <c r="Z41" s="109">
        <f t="shared" si="44"/>
        <v>2.0921759999999998</v>
      </c>
      <c r="AA41" s="109">
        <f t="shared" si="44"/>
        <v>2.3337680000000001</v>
      </c>
      <c r="AB41" s="109">
        <f t="shared" si="44"/>
        <v>2.7856519999999998</v>
      </c>
      <c r="AC41" s="109">
        <f t="shared" si="44"/>
        <v>3.6376739999999996</v>
      </c>
      <c r="AE41" s="68">
        <f t="shared" si="44"/>
        <v>1.947688570210468</v>
      </c>
      <c r="AF41" s="9">
        <f t="shared" si="44"/>
        <v>1.9661599999999999</v>
      </c>
      <c r="AG41" s="9">
        <f t="shared" si="44"/>
        <v>2.3671300000000004</v>
      </c>
      <c r="AH41" s="9">
        <f t="shared" si="44"/>
        <v>2.6009099999999998</v>
      </c>
      <c r="AI41" s="9">
        <f t="shared" si="44"/>
        <v>2.8718360000000001</v>
      </c>
      <c r="AJ41" s="9">
        <f t="shared" si="44"/>
        <v>3.3507340000000001</v>
      </c>
      <c r="AL41" s="2">
        <f t="shared" si="44"/>
        <v>1.6227409160039106</v>
      </c>
      <c r="AM41" s="6">
        <f t="shared" si="44"/>
        <v>30096.160000000003</v>
      </c>
      <c r="AN41" s="6">
        <f t="shared" si="44"/>
        <v>12551.737999999999</v>
      </c>
      <c r="AO41" s="6">
        <f t="shared" si="44"/>
        <v>8956.3160000000007</v>
      </c>
      <c r="AP41" s="6">
        <f t="shared" si="44"/>
        <v>89668.78</v>
      </c>
      <c r="AQ41" s="6">
        <f t="shared" si="44"/>
        <v>77424.66</v>
      </c>
      <c r="AR41" s="6">
        <f t="shared" si="44"/>
        <v>33720.805999999997</v>
      </c>
      <c r="AT41" s="2">
        <f t="shared" si="44"/>
        <v>0.72330793435827179</v>
      </c>
      <c r="AU41" s="2">
        <f t="shared" si="44"/>
        <v>0.83357224809222963</v>
      </c>
      <c r="AV41" s="2">
        <f t="shared" si="44"/>
        <v>0.73191705459197021</v>
      </c>
      <c r="AW41" s="2">
        <f t="shared" si="44"/>
        <v>1.7797877357110916</v>
      </c>
      <c r="AX41" s="2">
        <f t="shared" si="44"/>
        <v>1.7416867431098981</v>
      </c>
      <c r="AY41" s="25">
        <f t="shared" si="44"/>
        <v>113.01389999999999</v>
      </c>
      <c r="AZ41" s="2">
        <f t="shared" si="44"/>
        <v>1.0907149999999999</v>
      </c>
      <c r="BA41" s="18">
        <f t="shared" si="44"/>
        <v>1418014</v>
      </c>
      <c r="BB41" s="18">
        <f t="shared" si="44"/>
        <v>580257.80000000005</v>
      </c>
      <c r="BC41" s="9">
        <f t="shared" si="44"/>
        <v>3.3312619999999997</v>
      </c>
      <c r="BD41" s="9">
        <f t="shared" si="44"/>
        <v>2.4398600000000004</v>
      </c>
      <c r="BE41" s="9">
        <f t="shared" si="44"/>
        <v>3.5887900000000004</v>
      </c>
      <c r="BF41" s="9">
        <f t="shared" si="44"/>
        <v>9.1980779999999989</v>
      </c>
      <c r="BG41" s="9">
        <f t="shared" si="44"/>
        <v>11.48634</v>
      </c>
      <c r="BH41" s="9">
        <f t="shared" si="44"/>
        <v>12.0695</v>
      </c>
      <c r="BI41" s="9">
        <f t="shared" si="44"/>
        <v>17.487341999999998</v>
      </c>
      <c r="BJ41" s="9">
        <f t="shared" si="44"/>
        <v>25.2881</v>
      </c>
      <c r="BK41" s="9">
        <f t="shared" si="44"/>
        <v>34.837620000000001</v>
      </c>
      <c r="BL41" s="9">
        <f t="shared" si="44"/>
        <v>45.862139999999997</v>
      </c>
      <c r="BM41" s="9">
        <f t="shared" si="44"/>
        <v>55.565860000000001</v>
      </c>
      <c r="BN41" s="9">
        <f t="shared" si="44"/>
        <v>63.827740000000006</v>
      </c>
      <c r="BO41" s="9">
        <f t="shared" si="44"/>
        <v>80.542940000000002</v>
      </c>
      <c r="BP41" s="9">
        <f t="shared" si="44"/>
        <v>105.89697999999999</v>
      </c>
      <c r="BQ41" s="9">
        <f t="shared" ref="BQ41:CH41" si="45">AVERAGE(BQ15,BQ17,BQ19,BQ21,BQ23)</f>
        <v>131.27735999999999</v>
      </c>
      <c r="BR41" s="9">
        <f t="shared" si="45"/>
        <v>156.68106</v>
      </c>
      <c r="BS41" s="9">
        <f t="shared" si="45"/>
        <v>181.47814</v>
      </c>
      <c r="BT41" s="9">
        <f t="shared" si="45"/>
        <v>205.80459999999999</v>
      </c>
      <c r="BU41" s="9">
        <f t="shared" si="45"/>
        <v>222.46400000000003</v>
      </c>
      <c r="BV41" s="9">
        <f t="shared" si="45"/>
        <v>233.14179999999996</v>
      </c>
      <c r="BW41" s="9">
        <f t="shared" si="45"/>
        <v>237.72960000000003</v>
      </c>
      <c r="BX41" s="9">
        <f t="shared" si="45"/>
        <v>236.0966</v>
      </c>
      <c r="BY41" s="9">
        <f t="shared" si="45"/>
        <v>233.95940000000002</v>
      </c>
      <c r="BZ41" s="9">
        <f t="shared" si="45"/>
        <v>231.31799999999998</v>
      </c>
      <c r="CA41" s="9">
        <f t="shared" si="45"/>
        <v>208.8502</v>
      </c>
      <c r="CB41" s="9">
        <f t="shared" si="45"/>
        <v>166.55620000000002</v>
      </c>
      <c r="CC41" s="9">
        <f t="shared" si="45"/>
        <v>127.68402</v>
      </c>
      <c r="CD41" s="9">
        <f t="shared" si="45"/>
        <v>92.234160000000003</v>
      </c>
      <c r="CE41" s="9">
        <f t="shared" si="45"/>
        <v>68.742139999999992</v>
      </c>
      <c r="CF41" s="9">
        <f t="shared" si="45"/>
        <v>57.207499999999996</v>
      </c>
      <c r="CG41" s="9">
        <f t="shared" si="45"/>
        <v>47.885020000000004</v>
      </c>
      <c r="CH41" s="9">
        <f t="shared" si="45"/>
        <v>40.774600000000007</v>
      </c>
    </row>
    <row r="42" spans="1:86">
      <c r="A42" s="20"/>
      <c r="B42" s="20"/>
      <c r="C42" s="20"/>
      <c r="D42" s="20"/>
      <c r="E42" s="20"/>
      <c r="F42" s="22" t="s">
        <v>503</v>
      </c>
      <c r="G42" s="9">
        <f>STDEV(G15,G17,G19,G21,G23)</f>
        <v>1.4675799655896138</v>
      </c>
      <c r="H42" s="9">
        <f t="shared" ref="H42:BP42" si="46">STDEV(H15,H17,H19,H21,H23)</f>
        <v>0.36770378800292491</v>
      </c>
      <c r="I42" s="9">
        <f t="shared" si="46"/>
        <v>1.4406442673609776</v>
      </c>
      <c r="J42" s="6">
        <f t="shared" si="46"/>
        <v>468.60745926628124</v>
      </c>
      <c r="K42" s="25">
        <f t="shared" si="46"/>
        <v>52.434857756982588</v>
      </c>
      <c r="L42" s="25">
        <f t="shared" si="46"/>
        <v>48.359586106096891</v>
      </c>
      <c r="M42" s="9">
        <f t="shared" si="46"/>
        <v>9.3495647720629282</v>
      </c>
      <c r="N42" s="9">
        <f t="shared" si="46"/>
        <v>0.49185124402607666</v>
      </c>
      <c r="O42" s="9">
        <f t="shared" si="46"/>
        <v>0.43850112774085265</v>
      </c>
      <c r="P42" s="25">
        <f t="shared" si="46"/>
        <v>37.956817848708056</v>
      </c>
      <c r="Q42" s="25">
        <f t="shared" si="46"/>
        <v>8.9284398709963781</v>
      </c>
      <c r="R42" s="25">
        <f t="shared" si="46"/>
        <v>54.295981210831798</v>
      </c>
      <c r="S42" s="25">
        <f t="shared" si="46"/>
        <v>2.1323539652224572</v>
      </c>
      <c r="T42" s="2">
        <f t="shared" si="46"/>
        <v>9.6259696398243442</v>
      </c>
      <c r="U42" s="2">
        <f t="shared" si="46"/>
        <v>0.33109612734340521</v>
      </c>
      <c r="V42" s="2">
        <f t="shared" si="46"/>
        <v>5.5361208724340543</v>
      </c>
      <c r="W42" s="109">
        <f t="shared" si="46"/>
        <v>0.55171975778759341</v>
      </c>
      <c r="X42" s="109">
        <f t="shared" si="46"/>
        <v>0.5466539192624521</v>
      </c>
      <c r="Y42" s="109">
        <f t="shared" si="46"/>
        <v>0.65153626902115003</v>
      </c>
      <c r="Z42" s="109">
        <f t="shared" si="46"/>
        <v>0.71163016618887143</v>
      </c>
      <c r="AA42" s="109">
        <f t="shared" si="46"/>
        <v>0.77152294043664105</v>
      </c>
      <c r="AB42" s="109">
        <f t="shared" si="46"/>
        <v>0.8920263568807828</v>
      </c>
      <c r="AC42" s="109">
        <f t="shared" si="46"/>
        <v>1.165595101709852</v>
      </c>
      <c r="AE42" s="68">
        <f t="shared" si="46"/>
        <v>0.21421612733197085</v>
      </c>
      <c r="AF42" s="9">
        <f t="shared" si="46"/>
        <v>0.6421632370744994</v>
      </c>
      <c r="AG42" s="9">
        <f t="shared" si="46"/>
        <v>0.77285288367191785</v>
      </c>
      <c r="AH42" s="9">
        <f t="shared" si="46"/>
        <v>0.84233571392289863</v>
      </c>
      <c r="AI42" s="9">
        <f t="shared" si="46"/>
        <v>0.92741995839533176</v>
      </c>
      <c r="AJ42" s="9">
        <f t="shared" si="46"/>
        <v>1.0772829236231325</v>
      </c>
      <c r="AL42" s="2">
        <f t="shared" si="46"/>
        <v>0.10340673002660636</v>
      </c>
      <c r="AM42" s="6">
        <f t="shared" si="46"/>
        <v>10988.889287958076</v>
      </c>
      <c r="AN42" s="6">
        <f t="shared" si="46"/>
        <v>4403.3923689264911</v>
      </c>
      <c r="AO42" s="6">
        <f t="shared" si="46"/>
        <v>3176.0273282561629</v>
      </c>
      <c r="AP42" s="6">
        <f t="shared" si="46"/>
        <v>46246.369572886462</v>
      </c>
      <c r="AQ42" s="6">
        <f t="shared" si="46"/>
        <v>42453.492982650998</v>
      </c>
      <c r="AR42" s="6">
        <f t="shared" si="46"/>
        <v>23582.693098821012</v>
      </c>
      <c r="AT42" s="2">
        <f t="shared" si="46"/>
        <v>0.11723018253433858</v>
      </c>
      <c r="AU42" s="2">
        <f t="shared" si="46"/>
        <v>0.1001854955674501</v>
      </c>
      <c r="AV42" s="2">
        <f t="shared" si="46"/>
        <v>0.16940871766005122</v>
      </c>
      <c r="AW42" s="2">
        <f t="shared" si="46"/>
        <v>0.19565517583672967</v>
      </c>
      <c r="AX42" s="2">
        <f t="shared" si="46"/>
        <v>0.57790702269897554</v>
      </c>
      <c r="AY42" s="25">
        <f t="shared" si="46"/>
        <v>19.366392515127906</v>
      </c>
      <c r="AZ42" s="2">
        <f t="shared" si="46"/>
        <v>0.104854125932173</v>
      </c>
      <c r="BA42" s="18">
        <f t="shared" si="46"/>
        <v>355132.31679192476</v>
      </c>
      <c r="BB42" s="18">
        <f t="shared" si="46"/>
        <v>244985.03328917874</v>
      </c>
      <c r="BC42" s="9">
        <f t="shared" si="46"/>
        <v>0.8833170008383181</v>
      </c>
      <c r="BD42" s="9">
        <f t="shared" si="46"/>
        <v>0.90856191726265967</v>
      </c>
      <c r="BE42" s="9">
        <f t="shared" si="46"/>
        <v>1.0905441212073881</v>
      </c>
      <c r="BF42" s="9">
        <f t="shared" si="46"/>
        <v>1.9699885805303532</v>
      </c>
      <c r="BG42" s="9">
        <f t="shared" si="46"/>
        <v>3.9976812501686561</v>
      </c>
      <c r="BH42" s="9">
        <f t="shared" si="46"/>
        <v>7.6045320975619548</v>
      </c>
      <c r="BI42" s="9">
        <f t="shared" si="46"/>
        <v>10.911297920592219</v>
      </c>
      <c r="BJ42" s="9">
        <f t="shared" si="46"/>
        <v>14.570650875647251</v>
      </c>
      <c r="BK42" s="9">
        <f t="shared" si="46"/>
        <v>18.217659723109325</v>
      </c>
      <c r="BL42" s="9">
        <f t="shared" si="46"/>
        <v>22.364958077716125</v>
      </c>
      <c r="BM42" s="9">
        <f t="shared" si="46"/>
        <v>26.37345906840817</v>
      </c>
      <c r="BN42" s="9">
        <f t="shared" si="46"/>
        <v>30.235535856885349</v>
      </c>
      <c r="BO42" s="9">
        <f t="shared" si="46"/>
        <v>35.414723325235805</v>
      </c>
      <c r="BP42" s="9">
        <f t="shared" si="46"/>
        <v>43.953486254243884</v>
      </c>
      <c r="BQ42" s="9">
        <f t="shared" ref="BQ42:CH42" si="47">STDEV(BQ15,BQ17,BQ19,BQ21,BQ23)</f>
        <v>54.139520245824095</v>
      </c>
      <c r="BR42" s="9">
        <f t="shared" si="47"/>
        <v>65.23411555135857</v>
      </c>
      <c r="BS42" s="9">
        <f t="shared" si="47"/>
        <v>76.066032938809144</v>
      </c>
      <c r="BT42" s="9">
        <f t="shared" si="47"/>
        <v>86.618703469862695</v>
      </c>
      <c r="BU42" s="9">
        <f t="shared" si="47"/>
        <v>90.523480680428918</v>
      </c>
      <c r="BV42" s="9">
        <f t="shared" si="47"/>
        <v>86.211061678302144</v>
      </c>
      <c r="BW42" s="9">
        <f t="shared" si="47"/>
        <v>77.591250900471863</v>
      </c>
      <c r="BX42" s="9">
        <f t="shared" si="47"/>
        <v>65.162190527176236</v>
      </c>
      <c r="BY42" s="9">
        <f t="shared" si="47"/>
        <v>55.080639110307999</v>
      </c>
      <c r="BZ42" s="9">
        <f t="shared" si="47"/>
        <v>48.962718179243325</v>
      </c>
      <c r="CA42" s="9">
        <f t="shared" si="47"/>
        <v>43.296395752995508</v>
      </c>
      <c r="CB42" s="9">
        <f t="shared" si="47"/>
        <v>36.77397677298439</v>
      </c>
      <c r="CC42" s="9">
        <f t="shared" si="47"/>
        <v>32.272100252416188</v>
      </c>
      <c r="CD42" s="9">
        <f t="shared" si="47"/>
        <v>27.464819273445048</v>
      </c>
      <c r="CE42" s="9">
        <f t="shared" si="47"/>
        <v>24.527201627030379</v>
      </c>
      <c r="CF42" s="9">
        <f t="shared" si="47"/>
        <v>23.094804643252587</v>
      </c>
      <c r="CG42" s="9">
        <f t="shared" si="47"/>
        <v>21.34059224920901</v>
      </c>
      <c r="CH42" s="9">
        <f t="shared" si="47"/>
        <v>19.209539794982081</v>
      </c>
    </row>
    <row r="43" spans="1:86" s="37" customFormat="1">
      <c r="A43" s="53"/>
      <c r="B43" s="53"/>
      <c r="C43" s="53"/>
      <c r="D43" s="53"/>
      <c r="E43" s="53"/>
      <c r="F43" s="54" t="s">
        <v>493</v>
      </c>
      <c r="G43" s="55">
        <f>G42/G41</f>
        <v>0.15743711339785102</v>
      </c>
      <c r="H43" s="55">
        <f t="shared" ref="H43:BP43" si="48">H42/H41</f>
        <v>0.43895663339718244</v>
      </c>
      <c r="I43" s="55">
        <f t="shared" si="48"/>
        <v>0.13480373375602023</v>
      </c>
      <c r="J43" s="55">
        <f t="shared" si="48"/>
        <v>0.21062864830622438</v>
      </c>
      <c r="K43" s="55">
        <f t="shared" si="48"/>
        <v>0.41711498799589036</v>
      </c>
      <c r="L43" s="55">
        <f t="shared" si="48"/>
        <v>0.52416269934933124</v>
      </c>
      <c r="M43" s="55">
        <f t="shared" si="48"/>
        <v>0.52862061320939835</v>
      </c>
      <c r="N43" s="55">
        <f t="shared" si="48"/>
        <v>0.31805593788666581</v>
      </c>
      <c r="O43" s="55">
        <f t="shared" si="48"/>
        <v>0.30685959074822644</v>
      </c>
      <c r="P43" s="55">
        <f t="shared" si="48"/>
        <v>0.22584175857603078</v>
      </c>
      <c r="Q43" s="55">
        <f t="shared" si="48"/>
        <v>0.14449745379475473</v>
      </c>
      <c r="R43" s="55">
        <f t="shared" si="48"/>
        <v>0.55020702905360619</v>
      </c>
      <c r="S43" s="55">
        <f t="shared" si="48"/>
        <v>0.1588208367263951</v>
      </c>
      <c r="T43" s="55">
        <f t="shared" si="48"/>
        <v>0.6471998024793455</v>
      </c>
      <c r="U43" s="55">
        <f t="shared" si="48"/>
        <v>0.37724727651102374</v>
      </c>
      <c r="V43" s="55">
        <f t="shared" si="48"/>
        <v>0.54388951821578013</v>
      </c>
      <c r="W43" s="55">
        <f t="shared" si="48"/>
        <v>0.36131925318475666</v>
      </c>
      <c r="X43" s="55">
        <f t="shared" si="48"/>
        <v>0.36010199858796244</v>
      </c>
      <c r="Y43" s="55">
        <f t="shared" si="48"/>
        <v>0.34954600124528562</v>
      </c>
      <c r="Z43" s="55">
        <f t="shared" si="48"/>
        <v>0.34013876757446387</v>
      </c>
      <c r="AA43" s="55">
        <f t="shared" si="48"/>
        <v>0.33059110435854849</v>
      </c>
      <c r="AB43" s="55">
        <f t="shared" si="48"/>
        <v>0.32022174947939758</v>
      </c>
      <c r="AC43" s="55">
        <f t="shared" si="48"/>
        <v>0.32042318847424267</v>
      </c>
      <c r="AD43" s="55"/>
      <c r="AE43" s="55">
        <f t="shared" si="48"/>
        <v>0.10998479459620311</v>
      </c>
      <c r="AF43" s="55">
        <f t="shared" si="48"/>
        <v>0.32660782290073009</v>
      </c>
      <c r="AG43" s="55">
        <f t="shared" si="48"/>
        <v>0.32649363730421133</v>
      </c>
      <c r="AH43" s="55">
        <f t="shared" si="48"/>
        <v>0.32386192291271082</v>
      </c>
      <c r="AI43" s="55">
        <f t="shared" si="48"/>
        <v>0.32293625346131594</v>
      </c>
      <c r="AJ43" s="55">
        <f t="shared" si="48"/>
        <v>0.32150654860192796</v>
      </c>
      <c r="AK43" s="55"/>
      <c r="AL43" s="55">
        <f t="shared" si="48"/>
        <v>6.3723499547451587E-2</v>
      </c>
      <c r="AM43" s="55">
        <f t="shared" si="48"/>
        <v>0.36512595919074309</v>
      </c>
      <c r="AN43" s="55">
        <f t="shared" si="48"/>
        <v>0.3508193342568568</v>
      </c>
      <c r="AO43" s="55">
        <f t="shared" si="48"/>
        <v>0.3546131387342924</v>
      </c>
      <c r="AP43" s="55">
        <f t="shared" si="48"/>
        <v>0.51574661295588564</v>
      </c>
      <c r="AQ43" s="55">
        <f t="shared" si="48"/>
        <v>0.5483200440615561</v>
      </c>
      <c r="AR43" s="55">
        <f t="shared" si="48"/>
        <v>0.69935140633414916</v>
      </c>
      <c r="AS43" s="55"/>
      <c r="AT43" s="55">
        <f t="shared" si="48"/>
        <v>0.16207506784554593</v>
      </c>
      <c r="AU43" s="55">
        <f t="shared" si="48"/>
        <v>0.12018813701720693</v>
      </c>
      <c r="AV43" s="55">
        <f t="shared" si="48"/>
        <v>0.23145890179385606</v>
      </c>
      <c r="AW43" s="55">
        <f t="shared" si="48"/>
        <v>0.10993174742748642</v>
      </c>
      <c r="AX43" s="55">
        <f t="shared" si="48"/>
        <v>0.33180881980365995</v>
      </c>
      <c r="AY43" s="55">
        <f t="shared" si="48"/>
        <v>0.17136292540234349</v>
      </c>
      <c r="AZ43" s="55">
        <f t="shared" si="48"/>
        <v>9.6133385836055255E-2</v>
      </c>
      <c r="BA43" s="55">
        <f t="shared" si="48"/>
        <v>0.25044344893063453</v>
      </c>
      <c r="BB43" s="55">
        <f t="shared" si="48"/>
        <v>0.42220032766328813</v>
      </c>
      <c r="BC43" s="55">
        <f t="shared" si="48"/>
        <v>0.26515987059508322</v>
      </c>
      <c r="BD43" s="55">
        <f t="shared" si="48"/>
        <v>0.37238280772776289</v>
      </c>
      <c r="BE43" s="55">
        <f t="shared" si="48"/>
        <v>0.30387515602957765</v>
      </c>
      <c r="BF43" s="55">
        <f t="shared" si="48"/>
        <v>0.21417393726497572</v>
      </c>
      <c r="BG43" s="55">
        <f t="shared" si="48"/>
        <v>0.34803786499169065</v>
      </c>
      <c r="BH43" s="55">
        <f t="shared" si="48"/>
        <v>0.63006189962814985</v>
      </c>
      <c r="BI43" s="55">
        <f t="shared" si="48"/>
        <v>0.62395405319986419</v>
      </c>
      <c r="BJ43" s="55">
        <f t="shared" si="48"/>
        <v>0.57618606679217699</v>
      </c>
      <c r="BK43" s="55">
        <f t="shared" si="48"/>
        <v>0.52293066297609669</v>
      </c>
      <c r="BL43" s="55">
        <f t="shared" si="48"/>
        <v>0.48765622532476954</v>
      </c>
      <c r="BM43" s="55">
        <f t="shared" si="48"/>
        <v>0.47463422807472377</v>
      </c>
      <c r="BN43" s="55">
        <f t="shared" si="48"/>
        <v>0.47370525506441785</v>
      </c>
      <c r="BO43" s="55">
        <f t="shared" si="48"/>
        <v>0.4396999082133804</v>
      </c>
      <c r="BP43" s="55">
        <f t="shared" si="48"/>
        <v>0.41505892098380792</v>
      </c>
      <c r="BQ43" s="55">
        <f t="shared" ref="BQ43:CH43" si="49">BQ42/BQ41</f>
        <v>0.41240561392934849</v>
      </c>
      <c r="BR43" s="55">
        <f t="shared" si="49"/>
        <v>0.41634972058115111</v>
      </c>
      <c r="BS43" s="55">
        <f t="shared" si="49"/>
        <v>0.41914708261176331</v>
      </c>
      <c r="BT43" s="55">
        <f t="shared" si="49"/>
        <v>0.4208783645742743</v>
      </c>
      <c r="BU43" s="55">
        <f t="shared" si="49"/>
        <v>0.40691294178127208</v>
      </c>
      <c r="BV43" s="55">
        <f t="shared" si="49"/>
        <v>0.36977951477728216</v>
      </c>
      <c r="BW43" s="55">
        <f t="shared" si="49"/>
        <v>0.32638447589392255</v>
      </c>
      <c r="BX43" s="55">
        <f t="shared" si="49"/>
        <v>0.27599800474541453</v>
      </c>
      <c r="BY43" s="55">
        <f t="shared" si="49"/>
        <v>0.23542819442308363</v>
      </c>
      <c r="BZ43" s="55">
        <f t="shared" si="49"/>
        <v>0.21166843124721521</v>
      </c>
      <c r="CA43" s="55">
        <f t="shared" si="49"/>
        <v>0.20730837582628844</v>
      </c>
      <c r="CB43" s="55">
        <f t="shared" si="49"/>
        <v>0.22079020038271999</v>
      </c>
      <c r="CC43" s="55">
        <f t="shared" si="49"/>
        <v>0.25274971960012055</v>
      </c>
      <c r="CD43" s="55">
        <f t="shared" si="49"/>
        <v>0.29777274789996511</v>
      </c>
      <c r="CE43" s="55">
        <f t="shared" si="49"/>
        <v>0.35680008837418187</v>
      </c>
      <c r="CF43" s="55">
        <f t="shared" si="49"/>
        <v>0.40370239292492399</v>
      </c>
      <c r="CG43" s="55">
        <f t="shared" si="49"/>
        <v>0.44566322096574268</v>
      </c>
      <c r="CH43" s="55">
        <f t="shared" si="49"/>
        <v>0.47111534619547657</v>
      </c>
    </row>
    <row r="44" spans="1:86">
      <c r="A44" s="20"/>
      <c r="B44" s="20"/>
      <c r="C44" s="20" t="s">
        <v>506</v>
      </c>
      <c r="D44" s="20" t="s">
        <v>504</v>
      </c>
      <c r="E44" s="20"/>
      <c r="F44" s="22" t="s">
        <v>502</v>
      </c>
      <c r="G44" s="9">
        <f>AVERAGE(G16,G24)</f>
        <v>13.39335</v>
      </c>
      <c r="H44" s="9">
        <f t="shared" ref="H44:BP44" si="50">AVERAGE(H16,H24)</f>
        <v>0.1938685</v>
      </c>
      <c r="I44" s="9">
        <f t="shared" si="50"/>
        <v>7.1575600000000001</v>
      </c>
      <c r="J44" s="6">
        <f>AVERAGE(J16,J24)</f>
        <v>1517.095</v>
      </c>
      <c r="K44" s="25">
        <f t="shared" si="50"/>
        <v>22.970199999999998</v>
      </c>
      <c r="L44" s="25">
        <f t="shared" si="50"/>
        <v>29.2349</v>
      </c>
      <c r="M44" s="9">
        <f t="shared" si="50"/>
        <v>13.185499999999999</v>
      </c>
      <c r="N44" s="9">
        <f t="shared" si="50"/>
        <v>1.1845699999999999</v>
      </c>
      <c r="O44" s="9">
        <f t="shared" si="50"/>
        <v>1.1492599999999999</v>
      </c>
      <c r="P44" s="25">
        <f t="shared" si="50"/>
        <v>92.808449999999993</v>
      </c>
      <c r="Q44" s="25">
        <f t="shared" si="50"/>
        <v>124.0585</v>
      </c>
      <c r="R44" s="25">
        <f t="shared" si="50"/>
        <v>70.484849999999994</v>
      </c>
      <c r="S44" s="25">
        <f t="shared" si="50"/>
        <v>16.97645</v>
      </c>
      <c r="T44" s="2">
        <f t="shared" si="50"/>
        <v>2.6470750000000001</v>
      </c>
      <c r="U44" s="2">
        <f t="shared" si="50"/>
        <v>0.16320600000000002</v>
      </c>
      <c r="V44" s="2">
        <f t="shared" si="50"/>
        <v>1.1495139999999999</v>
      </c>
      <c r="W44" s="109">
        <f t="shared" si="50"/>
        <v>0.32719999999999999</v>
      </c>
      <c r="X44" s="109">
        <f t="shared" si="50"/>
        <v>0.32516900000000004</v>
      </c>
      <c r="Y44" s="109">
        <f t="shared" si="50"/>
        <v>0.40755750000000002</v>
      </c>
      <c r="Z44" s="109">
        <f t="shared" si="50"/>
        <v>0.4457335</v>
      </c>
      <c r="AA44" s="109">
        <f t="shared" si="50"/>
        <v>0.47926099999999999</v>
      </c>
      <c r="AB44" s="109">
        <f t="shared" si="50"/>
        <v>0.53428750000000003</v>
      </c>
      <c r="AC44" s="109">
        <f t="shared" si="50"/>
        <v>0.591422</v>
      </c>
      <c r="AE44" s="68">
        <f t="shared" si="50"/>
        <v>1.6714362627394164</v>
      </c>
      <c r="AF44" s="9">
        <f t="shared" si="50"/>
        <v>0.40864800000000001</v>
      </c>
      <c r="AG44" s="9">
        <f t="shared" si="50"/>
        <v>0.45336799999999999</v>
      </c>
      <c r="AH44" s="9">
        <f t="shared" si="50"/>
        <v>0.46494999999999997</v>
      </c>
      <c r="AI44" s="9">
        <f t="shared" si="50"/>
        <v>0.48419600000000002</v>
      </c>
      <c r="AJ44" s="9">
        <f t="shared" si="50"/>
        <v>0.49949749999999998</v>
      </c>
      <c r="AL44" s="2">
        <f t="shared" si="50"/>
        <v>1.2438707079400015</v>
      </c>
      <c r="AM44" s="6">
        <f t="shared" si="50"/>
        <v>4799.05</v>
      </c>
      <c r="AN44" s="6">
        <f t="shared" si="50"/>
        <v>2255.8450000000003</v>
      </c>
      <c r="AO44" s="6">
        <f t="shared" si="50"/>
        <v>1716.9250000000002</v>
      </c>
      <c r="AP44" s="6">
        <f t="shared" si="50"/>
        <v>10730.785</v>
      </c>
      <c r="AQ44" s="6">
        <f t="shared" si="50"/>
        <v>8532.7649999999994</v>
      </c>
      <c r="AR44" s="6">
        <f t="shared" si="50"/>
        <v>3087.61</v>
      </c>
      <c r="AT44" s="2">
        <f t="shared" si="50"/>
        <v>0.68479075999681194</v>
      </c>
      <c r="AU44" s="2">
        <f t="shared" si="50"/>
        <v>0.78524406324456641</v>
      </c>
      <c r="AV44" s="2">
        <f t="shared" si="50"/>
        <v>0.63603045274987102</v>
      </c>
      <c r="AW44" s="2">
        <f t="shared" si="50"/>
        <v>1.5095153615215331</v>
      </c>
      <c r="AX44" s="2">
        <f t="shared" si="50"/>
        <v>1.9491063460060376</v>
      </c>
      <c r="AY44" s="25">
        <f t="shared" si="50"/>
        <v>90.162099999999995</v>
      </c>
      <c r="AZ44" s="2">
        <f t="shared" si="50"/>
        <v>1.19506</v>
      </c>
      <c r="BA44" s="18">
        <f t="shared" si="50"/>
        <v>324396.5</v>
      </c>
      <c r="BB44" s="18">
        <f t="shared" si="50"/>
        <v>168102.5</v>
      </c>
      <c r="BC44" s="9">
        <f t="shared" si="50"/>
        <v>2.3935900000000001</v>
      </c>
      <c r="BD44" s="9">
        <f t="shared" si="50"/>
        <v>1.0608515000000001</v>
      </c>
      <c r="BE44" s="9">
        <f t="shared" si="50"/>
        <v>2.6018499999999998</v>
      </c>
      <c r="BF44" s="9">
        <f t="shared" si="50"/>
        <v>11.240105</v>
      </c>
      <c r="BG44" s="9">
        <f t="shared" si="50"/>
        <v>12.861840000000001</v>
      </c>
      <c r="BH44" s="9">
        <f t="shared" si="50"/>
        <v>5.9699499999999999</v>
      </c>
      <c r="BI44" s="9">
        <f t="shared" si="50"/>
        <v>3.9605100000000002</v>
      </c>
      <c r="BJ44" s="9">
        <f t="shared" si="50"/>
        <v>5.2914750000000002</v>
      </c>
      <c r="BK44" s="9">
        <f t="shared" si="50"/>
        <v>7.1254799999999996</v>
      </c>
      <c r="BL44" s="9">
        <f t="shared" si="50"/>
        <v>9.2576649999999994</v>
      </c>
      <c r="BM44" s="9">
        <f t="shared" si="50"/>
        <v>12.109565</v>
      </c>
      <c r="BN44" s="9">
        <f t="shared" si="50"/>
        <v>15.539300000000001</v>
      </c>
      <c r="BO44" s="9">
        <f t="shared" si="50"/>
        <v>20.35005</v>
      </c>
      <c r="BP44" s="9">
        <f t="shared" si="50"/>
        <v>26.701050000000002</v>
      </c>
      <c r="BQ44" s="9">
        <f t="shared" ref="BQ44:CH44" si="51">AVERAGE(BQ16,BQ24)</f>
        <v>31.8996</v>
      </c>
      <c r="BR44" s="9">
        <f t="shared" si="51"/>
        <v>35.85615</v>
      </c>
      <c r="BS44" s="9">
        <f t="shared" si="51"/>
        <v>38.364450000000005</v>
      </c>
      <c r="BT44" s="9">
        <f t="shared" si="51"/>
        <v>39.4358</v>
      </c>
      <c r="BU44" s="9">
        <f t="shared" si="51"/>
        <v>39.325150000000001</v>
      </c>
      <c r="BV44" s="9">
        <f t="shared" si="51"/>
        <v>38.1417</v>
      </c>
      <c r="BW44" s="9">
        <f t="shared" si="51"/>
        <v>37.237349999999999</v>
      </c>
      <c r="BX44" s="9">
        <f t="shared" si="51"/>
        <v>36.609549999999999</v>
      </c>
      <c r="BY44" s="9">
        <f t="shared" si="51"/>
        <v>35.990099999999998</v>
      </c>
      <c r="BZ44" s="9">
        <f t="shared" si="51"/>
        <v>35.378750000000004</v>
      </c>
      <c r="CA44" s="9">
        <f t="shared" si="51"/>
        <v>31.704599999999999</v>
      </c>
      <c r="CB44" s="9">
        <f t="shared" si="51"/>
        <v>24.967700000000001</v>
      </c>
      <c r="CC44" s="9">
        <f t="shared" si="51"/>
        <v>18.759550000000001</v>
      </c>
      <c r="CD44" s="9">
        <f t="shared" si="51"/>
        <v>13.0801</v>
      </c>
      <c r="CE44" s="9">
        <f t="shared" si="51"/>
        <v>9.2979149999999997</v>
      </c>
      <c r="CF44" s="9">
        <f t="shared" si="51"/>
        <v>7.4156950000000004</v>
      </c>
      <c r="CG44" s="9">
        <f t="shared" si="51"/>
        <v>5.9914300000000003</v>
      </c>
      <c r="CH44" s="9">
        <f t="shared" si="51"/>
        <v>5.013115</v>
      </c>
    </row>
    <row r="45" spans="1:86">
      <c r="A45" s="20"/>
      <c r="B45" s="20"/>
      <c r="C45" s="20"/>
      <c r="D45" s="20"/>
      <c r="E45" s="20"/>
      <c r="F45" s="22" t="s">
        <v>503</v>
      </c>
      <c r="G45" s="9">
        <f>0.5*(G16-G24)/(G16+G24)</f>
        <v>2.7033938484397103E-2</v>
      </c>
      <c r="H45" s="9">
        <f t="shared" ref="H45:BP45" si="52">0.5*(H16-H24)/(H16+H24)</f>
        <v>-8.1110391837766305E-2</v>
      </c>
      <c r="I45" s="9">
        <f t="shared" si="52"/>
        <v>-5.9727756386254535E-2</v>
      </c>
      <c r="J45" s="6">
        <f t="shared" si="52"/>
        <v>7.5489669401059174E-3</v>
      </c>
      <c r="K45" s="25">
        <f t="shared" si="52"/>
        <v>-4.9718766053408345E-2</v>
      </c>
      <c r="L45" s="25">
        <f t="shared" si="52"/>
        <v>-5.1094753188825698E-2</v>
      </c>
      <c r="M45" s="9">
        <f t="shared" si="52"/>
        <v>-7.6902658223047997E-3</v>
      </c>
      <c r="N45" s="9">
        <f t="shared" si="52"/>
        <v>-6.6733076137332498E-3</v>
      </c>
      <c r="O45" s="9">
        <f t="shared" si="52"/>
        <v>-6.6999634547447789E-3</v>
      </c>
      <c r="P45" s="25">
        <f t="shared" si="52"/>
        <v>9.4051511473362645E-2</v>
      </c>
      <c r="Q45" s="25">
        <f t="shared" si="52"/>
        <v>1.081949241688397E-2</v>
      </c>
      <c r="R45" s="25">
        <f t="shared" si="52"/>
        <v>-7.6015271366825635E-2</v>
      </c>
      <c r="S45" s="25">
        <f t="shared" si="52"/>
        <v>-9.0126322052019134E-2</v>
      </c>
      <c r="T45" s="2">
        <f t="shared" si="52"/>
        <v>-7.1881227392499173E-3</v>
      </c>
      <c r="U45" s="2">
        <f t="shared" si="52"/>
        <v>-0.11101001188681789</v>
      </c>
      <c r="V45" s="2">
        <f t="shared" si="52"/>
        <v>-0.10944451307248107</v>
      </c>
      <c r="W45" s="109">
        <f t="shared" si="52"/>
        <v>-0.10666717603911981</v>
      </c>
      <c r="X45" s="109">
        <f t="shared" si="52"/>
        <v>-0.10833136000049202</v>
      </c>
      <c r="Y45" s="109">
        <f t="shared" si="52"/>
        <v>-0.10573661385203315</v>
      </c>
      <c r="Z45" s="109">
        <f t="shared" si="52"/>
        <v>-0.10283106385317682</v>
      </c>
      <c r="AA45" s="109">
        <f t="shared" si="52"/>
        <v>-9.9797396408220121E-2</v>
      </c>
      <c r="AB45" s="109">
        <f t="shared" si="52"/>
        <v>-0.10180707952179302</v>
      </c>
      <c r="AC45" s="109">
        <f t="shared" si="52"/>
        <v>-0.1298184714129674</v>
      </c>
      <c r="AE45" s="68">
        <f t="shared" si="52"/>
        <v>-7.9214345059906606E-3</v>
      </c>
      <c r="AF45" s="9">
        <f t="shared" si="52"/>
        <v>-6.4112634834870105E-2</v>
      </c>
      <c r="AG45" s="9">
        <f t="shared" si="52"/>
        <v>-6.0042834959679575E-2</v>
      </c>
      <c r="AH45" s="9">
        <f t="shared" si="52"/>
        <v>-5.4867190020432291E-2</v>
      </c>
      <c r="AI45" s="9">
        <f t="shared" si="52"/>
        <v>-4.911750613387969E-2</v>
      </c>
      <c r="AJ45" s="9">
        <f t="shared" si="52"/>
        <v>-4.0215916996581544E-2</v>
      </c>
      <c r="AL45" s="2">
        <f t="shared" si="52"/>
        <v>2.2879318955790016E-2</v>
      </c>
      <c r="AM45" s="6">
        <f t="shared" si="52"/>
        <v>-1.9045436075889753E-3</v>
      </c>
      <c r="AN45" s="6">
        <f t="shared" si="52"/>
        <v>4.8573816020161375E-3</v>
      </c>
      <c r="AO45" s="6">
        <f t="shared" si="52"/>
        <v>-5.9685193004936155E-3</v>
      </c>
      <c r="AP45" s="6">
        <f t="shared" si="52"/>
        <v>-0.10189445599739444</v>
      </c>
      <c r="AQ45" s="6">
        <f t="shared" si="52"/>
        <v>-0.10097752604226182</v>
      </c>
      <c r="AR45" s="6">
        <f t="shared" si="52"/>
        <v>-0.10622455556239292</v>
      </c>
      <c r="AT45" s="2">
        <f t="shared" si="52"/>
        <v>-3.1819755789892705E-2</v>
      </c>
      <c r="AU45" s="2">
        <f t="shared" si="52"/>
        <v>-2.2857510191706815E-2</v>
      </c>
      <c r="AV45" s="2">
        <f t="shared" si="52"/>
        <v>-3.6931697425369961E-2</v>
      </c>
      <c r="AW45" s="2">
        <f t="shared" si="52"/>
        <v>5.0530089709058179E-3</v>
      </c>
      <c r="AX45" s="2">
        <f t="shared" si="52"/>
        <v>3.783929969554557E-3</v>
      </c>
      <c r="AY45" s="25">
        <f t="shared" si="52"/>
        <v>-1.0191643717260366E-2</v>
      </c>
      <c r="AZ45" s="2">
        <f t="shared" si="52"/>
        <v>-6.028985992335127E-3</v>
      </c>
      <c r="BA45" s="18">
        <f t="shared" si="52"/>
        <v>1.6562293366297109E-2</v>
      </c>
      <c r="BB45" s="18">
        <f t="shared" si="52"/>
        <v>1.2895406076649664E-2</v>
      </c>
      <c r="BC45" s="9">
        <f t="shared" si="52"/>
        <v>-0.20827919568514239</v>
      </c>
      <c r="BD45" s="9">
        <f t="shared" si="52"/>
        <v>0.20743171876553881</v>
      </c>
      <c r="BE45" s="9">
        <f t="shared" si="52"/>
        <v>8.0644541384015236E-2</v>
      </c>
      <c r="BF45" s="9">
        <f t="shared" si="52"/>
        <v>-0.13275654453405908</v>
      </c>
      <c r="BG45" s="9">
        <f t="shared" si="52"/>
        <v>-0.14978650022080822</v>
      </c>
      <c r="BH45" s="9">
        <f t="shared" si="52"/>
        <v>-0.10820358629469261</v>
      </c>
      <c r="BI45" s="9">
        <f t="shared" si="52"/>
        <v>8.0965582715357379E-2</v>
      </c>
      <c r="BJ45" s="9">
        <f t="shared" si="52"/>
        <v>0.18117868836194065</v>
      </c>
      <c r="BK45" s="9">
        <f t="shared" si="52"/>
        <v>0.2189480568326625</v>
      </c>
      <c r="BL45" s="9">
        <f t="shared" si="52"/>
        <v>0.2308430365540339</v>
      </c>
      <c r="BM45" s="9">
        <f t="shared" si="52"/>
        <v>0.20835327280542282</v>
      </c>
      <c r="BN45" s="9">
        <f t="shared" si="52"/>
        <v>0.17653948376052975</v>
      </c>
      <c r="BO45" s="9">
        <f t="shared" si="52"/>
        <v>0.14609423564069868</v>
      </c>
      <c r="BP45" s="9">
        <f t="shared" si="52"/>
        <v>0.12049619771507114</v>
      </c>
      <c r="BQ45" s="9">
        <f t="shared" ref="BQ45:CH45" si="53">0.5*(BQ16-BQ24)/(BQ16+BQ24)</f>
        <v>0.10891672622854202</v>
      </c>
      <c r="BR45" s="9">
        <f t="shared" si="53"/>
        <v>0.10473586818439791</v>
      </c>
      <c r="BS45" s="9">
        <f t="shared" si="53"/>
        <v>0.10689518551680005</v>
      </c>
      <c r="BT45" s="9">
        <f t="shared" si="53"/>
        <v>0.11424771400605541</v>
      </c>
      <c r="BU45" s="9">
        <f t="shared" si="53"/>
        <v>0.12247696448710303</v>
      </c>
      <c r="BV45" s="9">
        <f t="shared" si="53"/>
        <v>0.13069815975690649</v>
      </c>
      <c r="BW45" s="9">
        <f t="shared" si="53"/>
        <v>0.13334125548676265</v>
      </c>
      <c r="BX45" s="9">
        <f t="shared" si="53"/>
        <v>0.1299776970763093</v>
      </c>
      <c r="BY45" s="9">
        <f t="shared" si="53"/>
        <v>0.12460509973576069</v>
      </c>
      <c r="BZ45" s="9">
        <f t="shared" si="53"/>
        <v>0.11712751298448928</v>
      </c>
      <c r="CA45" s="9">
        <f t="shared" si="53"/>
        <v>0.10902676583208745</v>
      </c>
      <c r="CB45" s="9">
        <f t="shared" si="53"/>
        <v>9.7047385221706445E-2</v>
      </c>
      <c r="CC45" s="9">
        <f t="shared" si="53"/>
        <v>8.4011876617509473E-2</v>
      </c>
      <c r="CD45" s="9">
        <f t="shared" si="53"/>
        <v>6.9991819634406441E-2</v>
      </c>
      <c r="CE45" s="9">
        <f t="shared" si="53"/>
        <v>5.3688649552076993E-2</v>
      </c>
      <c r="CF45" s="9">
        <f t="shared" si="53"/>
        <v>4.3989470980130653E-2</v>
      </c>
      <c r="CG45" s="9">
        <f t="shared" si="53"/>
        <v>3.5188594375633209E-2</v>
      </c>
      <c r="CH45" s="9">
        <f t="shared" si="53"/>
        <v>3.1191684212311107E-2</v>
      </c>
    </row>
    <row r="46" spans="1:86" s="37" customFormat="1">
      <c r="A46" s="53"/>
      <c r="B46" s="53"/>
      <c r="C46" s="53"/>
      <c r="D46" s="53"/>
      <c r="E46" s="53"/>
      <c r="F46" s="54" t="s">
        <v>493</v>
      </c>
      <c r="G46" s="55">
        <f>G45/G44</f>
        <v>2.0184597941812245E-3</v>
      </c>
      <c r="H46" s="55">
        <f t="shared" ref="H46:BP46" si="54">H45/H44</f>
        <v>-0.41837839482827949</v>
      </c>
      <c r="I46" s="55">
        <f t="shared" si="54"/>
        <v>-8.3447091447720351E-3</v>
      </c>
      <c r="J46" s="55">
        <f t="shared" si="54"/>
        <v>4.9759355479425592E-6</v>
      </c>
      <c r="K46" s="55">
        <f t="shared" si="54"/>
        <v>-2.1644899066359173E-3</v>
      </c>
      <c r="L46" s="55">
        <f t="shared" si="54"/>
        <v>-1.7477314165201762E-3</v>
      </c>
      <c r="M46" s="55">
        <f t="shared" si="54"/>
        <v>-5.8323657216675896E-4</v>
      </c>
      <c r="N46" s="55">
        <f t="shared" si="54"/>
        <v>-5.6335274519304481E-3</v>
      </c>
      <c r="O46" s="55">
        <f t="shared" si="54"/>
        <v>-5.8298065318072318E-3</v>
      </c>
      <c r="P46" s="55">
        <f t="shared" si="54"/>
        <v>1.0133938393902997E-3</v>
      </c>
      <c r="Q46" s="55">
        <f t="shared" si="54"/>
        <v>8.7212826343087901E-5</v>
      </c>
      <c r="R46" s="55">
        <f t="shared" si="54"/>
        <v>-1.0784625542485462E-3</v>
      </c>
      <c r="S46" s="55">
        <f t="shared" si="54"/>
        <v>-5.3089027477487422E-3</v>
      </c>
      <c r="T46" s="55">
        <f t="shared" si="54"/>
        <v>-2.7154964401272792E-3</v>
      </c>
      <c r="U46" s="55">
        <f t="shared" si="54"/>
        <v>-0.68018339942660122</v>
      </c>
      <c r="V46" s="55">
        <f t="shared" si="54"/>
        <v>-9.5209378113255749E-2</v>
      </c>
      <c r="W46" s="55">
        <f t="shared" si="54"/>
        <v>-0.32599992676992606</v>
      </c>
      <c r="X46" s="55">
        <f t="shared" si="54"/>
        <v>-0.33315402144882206</v>
      </c>
      <c r="Y46" s="55">
        <f t="shared" si="54"/>
        <v>-0.25943974494895355</v>
      </c>
      <c r="Z46" s="55">
        <f t="shared" si="54"/>
        <v>-0.23070077490961935</v>
      </c>
      <c r="AA46" s="55">
        <f t="shared" si="54"/>
        <v>-0.20823183277633717</v>
      </c>
      <c r="AB46" s="55">
        <f t="shared" si="54"/>
        <v>-0.19054737294395435</v>
      </c>
      <c r="AC46" s="55">
        <f t="shared" si="54"/>
        <v>-0.21950226980559973</v>
      </c>
      <c r="AD46" s="55"/>
      <c r="AE46" s="55">
        <f t="shared" si="54"/>
        <v>-4.7392979813706748E-3</v>
      </c>
      <c r="AF46" s="55">
        <f t="shared" si="54"/>
        <v>-0.15688963321702321</v>
      </c>
      <c r="AG46" s="55">
        <f t="shared" si="54"/>
        <v>-0.13243730249969027</v>
      </c>
      <c r="AH46" s="55">
        <f t="shared" si="54"/>
        <v>-0.11800664591984578</v>
      </c>
      <c r="AI46" s="55">
        <f t="shared" si="54"/>
        <v>-0.10144137112632011</v>
      </c>
      <c r="AJ46" s="55">
        <f t="shared" si="54"/>
        <v>-8.0512749306215839E-2</v>
      </c>
      <c r="AK46" s="55"/>
      <c r="AL46" s="55">
        <f t="shared" si="54"/>
        <v>1.8393647193188513E-2</v>
      </c>
      <c r="AM46" s="55">
        <f t="shared" si="54"/>
        <v>-3.9685846315186867E-7</v>
      </c>
      <c r="AN46" s="55">
        <f t="shared" si="54"/>
        <v>2.153242621729834E-6</v>
      </c>
      <c r="AO46" s="55">
        <f t="shared" si="54"/>
        <v>-3.4762842293598233E-6</v>
      </c>
      <c r="AP46" s="55">
        <f t="shared" si="54"/>
        <v>-9.4955267482662682E-6</v>
      </c>
      <c r="AQ46" s="55">
        <f t="shared" si="54"/>
        <v>-1.1834092002095665E-5</v>
      </c>
      <c r="AR46" s="55">
        <f t="shared" si="54"/>
        <v>-3.4403488640855849E-5</v>
      </c>
      <c r="AS46" s="55"/>
      <c r="AT46" s="55">
        <f t="shared" si="54"/>
        <v>-4.6466391850907632E-2</v>
      </c>
      <c r="AU46" s="55">
        <f t="shared" si="54"/>
        <v>-2.9108797202823018E-2</v>
      </c>
      <c r="AV46" s="55">
        <f t="shared" si="54"/>
        <v>-5.8065926349432098E-2</v>
      </c>
      <c r="AW46" s="55">
        <f t="shared" si="54"/>
        <v>3.3474379259132415E-3</v>
      </c>
      <c r="AX46" s="55">
        <f t="shared" si="54"/>
        <v>1.9413666049101436E-3</v>
      </c>
      <c r="AY46" s="55">
        <f t="shared" si="54"/>
        <v>-1.1303689374205311E-4</v>
      </c>
      <c r="AZ46" s="55">
        <f t="shared" si="54"/>
        <v>-5.044923261037209E-3</v>
      </c>
      <c r="BA46" s="55">
        <f t="shared" si="54"/>
        <v>5.10557091901334E-8</v>
      </c>
      <c r="BB46" s="55">
        <f t="shared" si="54"/>
        <v>7.6711566316084909E-8</v>
      </c>
      <c r="BC46" s="55">
        <f t="shared" si="54"/>
        <v>-8.7015401837884671E-2</v>
      </c>
      <c r="BD46" s="55">
        <f t="shared" si="54"/>
        <v>0.19553322851081306</v>
      </c>
      <c r="BE46" s="55">
        <f t="shared" si="54"/>
        <v>3.0995077112060742E-2</v>
      </c>
      <c r="BF46" s="55">
        <f t="shared" si="54"/>
        <v>-1.1810970140764617E-2</v>
      </c>
      <c r="BG46" s="55">
        <f t="shared" si="54"/>
        <v>-1.1645806526967232E-2</v>
      </c>
      <c r="BH46" s="55">
        <f t="shared" si="54"/>
        <v>-1.8124705616410958E-2</v>
      </c>
      <c r="BI46" s="55">
        <f t="shared" si="54"/>
        <v>2.0443221381932473E-2</v>
      </c>
      <c r="BJ46" s="55">
        <f t="shared" si="54"/>
        <v>3.4239732468156918E-2</v>
      </c>
      <c r="BK46" s="55">
        <f t="shared" si="54"/>
        <v>3.0727481774233106E-2</v>
      </c>
      <c r="BL46" s="55">
        <f t="shared" si="54"/>
        <v>2.4935341314903263E-2</v>
      </c>
      <c r="BM46" s="55">
        <f t="shared" si="54"/>
        <v>1.7205677727104386E-2</v>
      </c>
      <c r="BN46" s="55">
        <f t="shared" si="54"/>
        <v>1.136083888981677E-2</v>
      </c>
      <c r="BO46" s="55">
        <f t="shared" si="54"/>
        <v>7.1790602794931059E-3</v>
      </c>
      <c r="BP46" s="55">
        <f t="shared" si="54"/>
        <v>4.5127887373369634E-3</v>
      </c>
      <c r="BQ46" s="55">
        <f t="shared" ref="BQ46:CH46" si="55">BQ45/BQ44</f>
        <v>3.4143602499260815E-3</v>
      </c>
      <c r="BR46" s="55">
        <f t="shared" si="55"/>
        <v>2.9210015069771268E-3</v>
      </c>
      <c r="BS46" s="55">
        <f t="shared" si="55"/>
        <v>2.7863083014822328E-3</v>
      </c>
      <c r="BT46" s="55">
        <f t="shared" si="55"/>
        <v>2.8970558225281445E-3</v>
      </c>
      <c r="BU46" s="55">
        <f t="shared" si="55"/>
        <v>3.1144690989634632E-3</v>
      </c>
      <c r="BV46" s="55">
        <f t="shared" si="55"/>
        <v>3.4266474686997822E-3</v>
      </c>
      <c r="BW46" s="55">
        <f t="shared" si="55"/>
        <v>3.5808470658294064E-3</v>
      </c>
      <c r="BX46" s="55">
        <f t="shared" si="55"/>
        <v>3.5503768026733272E-3</v>
      </c>
      <c r="BY46" s="55">
        <f t="shared" si="55"/>
        <v>3.4622048767789112E-3</v>
      </c>
      <c r="BZ46" s="55">
        <f t="shared" si="55"/>
        <v>3.3106741471784409E-3</v>
      </c>
      <c r="CA46" s="55">
        <f t="shared" si="55"/>
        <v>3.4388311422344849E-3</v>
      </c>
      <c r="CB46" s="55">
        <f t="shared" si="55"/>
        <v>3.8869173060276452E-3</v>
      </c>
      <c r="CC46" s="55">
        <f t="shared" si="55"/>
        <v>4.4783524454216368E-3</v>
      </c>
      <c r="CD46" s="55">
        <f t="shared" si="55"/>
        <v>5.3510156370674871E-3</v>
      </c>
      <c r="CE46" s="55">
        <f t="shared" si="55"/>
        <v>5.7742676236636915E-3</v>
      </c>
      <c r="CF46" s="55">
        <f t="shared" si="55"/>
        <v>5.9319417775583611E-3</v>
      </c>
      <c r="CG46" s="55">
        <f t="shared" si="55"/>
        <v>5.873154551690199E-3</v>
      </c>
      <c r="CH46" s="55">
        <f t="shared" si="55"/>
        <v>6.2220164932005563E-3</v>
      </c>
    </row>
    <row r="47" spans="1:86">
      <c r="A47" s="20"/>
      <c r="B47" s="20"/>
      <c r="C47" s="20" t="s">
        <v>506</v>
      </c>
      <c r="D47" s="20" t="s">
        <v>505</v>
      </c>
      <c r="E47" s="20"/>
      <c r="F47" s="22" t="s">
        <v>502</v>
      </c>
      <c r="G47" s="9">
        <f>AVERAGE(G18,G20,G22)</f>
        <v>12.585833333333333</v>
      </c>
      <c r="H47" s="9">
        <f t="shared" ref="H47:BP47" si="56">AVERAGE(H18,H20,H22)</f>
        <v>0.13469316666666667</v>
      </c>
      <c r="I47" s="9">
        <f t="shared" si="56"/>
        <v>7.9071866666666679</v>
      </c>
      <c r="J47" s="6">
        <f t="shared" si="56"/>
        <v>1083.3166666666666</v>
      </c>
      <c r="K47" s="25">
        <f t="shared" si="56"/>
        <v>8.0722599999999982</v>
      </c>
      <c r="L47" s="25">
        <f t="shared" si="56"/>
        <v>22.406199999999998</v>
      </c>
      <c r="M47" s="9">
        <f t="shared" si="56"/>
        <v>13.665799999999999</v>
      </c>
      <c r="N47" s="9">
        <f t="shared" si="56"/>
        <v>0.89391366666666661</v>
      </c>
      <c r="O47" s="9">
        <f t="shared" si="56"/>
        <v>0.8577366666666667</v>
      </c>
      <c r="P47" s="25">
        <f t="shared" si="56"/>
        <v>90.717066666666668</v>
      </c>
      <c r="Q47" s="25">
        <f t="shared" si="56"/>
        <v>213.43499999999997</v>
      </c>
      <c r="R47" s="25">
        <f t="shared" si="56"/>
        <v>211.89786666666669</v>
      </c>
      <c r="S47" s="25">
        <f t="shared" si="56"/>
        <v>11.994333333333335</v>
      </c>
      <c r="T47" s="2">
        <f t="shared" si="56"/>
        <v>0.42439333333333334</v>
      </c>
      <c r="U47" s="2">
        <f t="shared" si="56"/>
        <v>2.432021333333333E-2</v>
      </c>
      <c r="V47" s="2">
        <f t="shared" si="56"/>
        <v>0.30506433333333333</v>
      </c>
      <c r="W47" s="109">
        <f t="shared" si="56"/>
        <v>6.876963333333333E-2</v>
      </c>
      <c r="X47" s="109">
        <f t="shared" si="56"/>
        <v>6.9609066666666664E-2</v>
      </c>
      <c r="Y47" s="109">
        <f t="shared" si="56"/>
        <v>9.6569833333333341E-2</v>
      </c>
      <c r="Z47" s="109">
        <f t="shared" si="56"/>
        <v>0.11013859999999999</v>
      </c>
      <c r="AA47" s="109">
        <f t="shared" si="56"/>
        <v>0.1222401</v>
      </c>
      <c r="AB47" s="109">
        <f t="shared" si="56"/>
        <v>0.14002633333333334</v>
      </c>
      <c r="AC47" s="109">
        <f t="shared" si="56"/>
        <v>0.14997199999999999</v>
      </c>
      <c r="AE47" s="68">
        <f t="shared" si="56"/>
        <v>1.9370587177598517</v>
      </c>
      <c r="AF47" s="9">
        <f t="shared" si="56"/>
        <v>9.5214433333333334E-2</v>
      </c>
      <c r="AG47" s="9">
        <f t="shared" si="56"/>
        <v>0.11676836666666666</v>
      </c>
      <c r="AH47" s="9">
        <f t="shared" si="56"/>
        <v>0.12568866666666667</v>
      </c>
      <c r="AI47" s="9">
        <f t="shared" si="56"/>
        <v>0.13059466666666666</v>
      </c>
      <c r="AJ47" s="9">
        <f t="shared" si="56"/>
        <v>0.13410166666666667</v>
      </c>
      <c r="AL47" s="2">
        <f t="shared" si="56"/>
        <v>1.4059074859665677</v>
      </c>
      <c r="AM47" s="6">
        <f t="shared" si="56"/>
        <v>1369.0999999999997</v>
      </c>
      <c r="AN47" s="6">
        <f t="shared" si="56"/>
        <v>657.16833333333341</v>
      </c>
      <c r="AO47" s="6">
        <f t="shared" si="56"/>
        <v>484.66033333333331</v>
      </c>
      <c r="AP47" s="6">
        <f t="shared" si="56"/>
        <v>1911.3</v>
      </c>
      <c r="AQ47" s="6">
        <f t="shared" si="56"/>
        <v>1672.3366666666668</v>
      </c>
      <c r="AR47" s="6">
        <f t="shared" si="56"/>
        <v>627.80600000000004</v>
      </c>
      <c r="AT47" s="2">
        <f t="shared" si="56"/>
        <v>0.57475225421070431</v>
      </c>
      <c r="AU47" s="2">
        <f t="shared" si="56"/>
        <v>0.70956253157331028</v>
      </c>
      <c r="AV47" s="2">
        <f t="shared" si="56"/>
        <v>0.5558759038750315</v>
      </c>
      <c r="AW47" s="2">
        <f t="shared" si="56"/>
        <v>1.5265494771157195</v>
      </c>
      <c r="AX47" s="2">
        <f t="shared" si="56"/>
        <v>1.7512482676937362</v>
      </c>
      <c r="AY47" s="25">
        <f t="shared" si="56"/>
        <v>72.541049999999998</v>
      </c>
      <c r="AZ47" s="2">
        <f t="shared" si="56"/>
        <v>1.022035</v>
      </c>
      <c r="BA47" s="18">
        <f t="shared" si="56"/>
        <v>180946</v>
      </c>
      <c r="BB47" s="18">
        <f t="shared" si="56"/>
        <v>114739.05</v>
      </c>
      <c r="BC47" s="9">
        <f t="shared" si="56"/>
        <v>2.2630749999999997</v>
      </c>
      <c r="BD47" s="9">
        <f t="shared" si="56"/>
        <v>2.4599150000000001</v>
      </c>
      <c r="BE47" s="9">
        <f t="shared" si="56"/>
        <v>3.7320950000000002</v>
      </c>
      <c r="BF47" s="9">
        <f t="shared" si="56"/>
        <v>7.585659999999999</v>
      </c>
      <c r="BG47" s="9">
        <f t="shared" si="56"/>
        <v>7.6864400000000002</v>
      </c>
      <c r="BH47" s="9">
        <f t="shared" si="56"/>
        <v>3.6648949999999996</v>
      </c>
      <c r="BI47" s="9">
        <f t="shared" si="56"/>
        <v>3.1081849999999998</v>
      </c>
      <c r="BJ47" s="9">
        <f t="shared" si="56"/>
        <v>4.2956349999999999</v>
      </c>
      <c r="BK47" s="9">
        <f t="shared" si="56"/>
        <v>6.1456800000000005</v>
      </c>
      <c r="BL47" s="9">
        <f t="shared" si="56"/>
        <v>8.4991149999999998</v>
      </c>
      <c r="BM47" s="9">
        <f t="shared" si="56"/>
        <v>11.255234999999999</v>
      </c>
      <c r="BN47" s="9">
        <f t="shared" si="56"/>
        <v>14.12195</v>
      </c>
      <c r="BO47" s="9">
        <f t="shared" si="56"/>
        <v>17.552849999999999</v>
      </c>
      <c r="BP47" s="9">
        <f t="shared" si="56"/>
        <v>22.06165</v>
      </c>
      <c r="BQ47" s="9">
        <f t="shared" ref="BQ47:CH47" si="57">AVERAGE(BQ18,BQ20,BQ22)</f>
        <v>26.087800000000001</v>
      </c>
      <c r="BR47" s="9">
        <f t="shared" si="57"/>
        <v>29.247250000000001</v>
      </c>
      <c r="BS47" s="9">
        <f t="shared" si="57"/>
        <v>31.212299999999999</v>
      </c>
      <c r="BT47" s="9">
        <f t="shared" si="57"/>
        <v>31.972249999999999</v>
      </c>
      <c r="BU47" s="9">
        <f t="shared" si="57"/>
        <v>30.9953</v>
      </c>
      <c r="BV47" s="9">
        <f t="shared" si="57"/>
        <v>28.2683</v>
      </c>
      <c r="BW47" s="9">
        <f t="shared" si="57"/>
        <v>25.33905</v>
      </c>
      <c r="BX47" s="9">
        <f t="shared" si="57"/>
        <v>22.197200000000002</v>
      </c>
      <c r="BY47" s="9">
        <f t="shared" si="57"/>
        <v>19.452849999999998</v>
      </c>
      <c r="BZ47" s="9">
        <f t="shared" si="57"/>
        <v>17.108000000000001</v>
      </c>
      <c r="CA47" s="9">
        <f t="shared" si="57"/>
        <v>13.9795</v>
      </c>
      <c r="CB47" s="9">
        <f t="shared" si="57"/>
        <v>10.06413</v>
      </c>
      <c r="CC47" s="9">
        <f t="shared" si="57"/>
        <v>6.9030199999999997</v>
      </c>
      <c r="CD47" s="9">
        <f t="shared" si="57"/>
        <v>4.4955800000000004</v>
      </c>
      <c r="CE47" s="9">
        <f t="shared" si="57"/>
        <v>2.94333</v>
      </c>
      <c r="CF47" s="9">
        <f t="shared" si="57"/>
        <v>2.2451400000000001</v>
      </c>
      <c r="CG47" s="9">
        <f t="shared" si="57"/>
        <v>1.73655</v>
      </c>
      <c r="CH47" s="9">
        <f t="shared" si="57"/>
        <v>1.4163000000000001</v>
      </c>
    </row>
    <row r="48" spans="1:86">
      <c r="A48" s="20"/>
      <c r="B48" s="20"/>
      <c r="C48" s="20"/>
      <c r="D48" s="20"/>
      <c r="E48" s="20"/>
      <c r="F48" s="22" t="s">
        <v>503</v>
      </c>
      <c r="G48" s="9">
        <f>STDEV(G18,G20,G22)</f>
        <v>0.56811301985901852</v>
      </c>
      <c r="H48" s="9">
        <f t="shared" ref="H48:BP48" si="58">STDEV(H18,H20,H22)</f>
        <v>5.0352166975050086E-2</v>
      </c>
      <c r="I48" s="9">
        <f t="shared" si="58"/>
        <v>0.61146628642414436</v>
      </c>
      <c r="J48" s="6">
        <f t="shared" si="58"/>
        <v>41.70036610550715</v>
      </c>
      <c r="K48" s="25">
        <f t="shared" si="58"/>
        <v>3.2881051328690831</v>
      </c>
      <c r="L48" s="25">
        <f t="shared" si="58"/>
        <v>2.8791251084314107</v>
      </c>
      <c r="M48" s="9">
        <f t="shared" si="58"/>
        <v>0.84545048347020302</v>
      </c>
      <c r="N48" s="9">
        <f t="shared" si="58"/>
        <v>3.924969351897329E-2</v>
      </c>
      <c r="O48" s="9">
        <f t="shared" si="58"/>
        <v>3.9559021301510164E-2</v>
      </c>
      <c r="P48" s="25">
        <f t="shared" si="58"/>
        <v>8.4773101431605884</v>
      </c>
      <c r="Q48" s="25">
        <f t="shared" si="58"/>
        <v>4.6746066144650076</v>
      </c>
      <c r="R48" s="25">
        <f t="shared" si="58"/>
        <v>152.56498710993071</v>
      </c>
      <c r="S48" s="25">
        <f t="shared" si="58"/>
        <v>0.86572444422768435</v>
      </c>
      <c r="T48" s="2">
        <f t="shared" si="58"/>
        <v>8.7630625384812311E-2</v>
      </c>
      <c r="U48" s="2">
        <f t="shared" si="58"/>
        <v>1.9460629558432415E-2</v>
      </c>
      <c r="V48" s="2">
        <f t="shared" si="58"/>
        <v>5.4512019319901822E-2</v>
      </c>
      <c r="W48" s="109">
        <f t="shared" si="58"/>
        <v>2.6821358541530539E-2</v>
      </c>
      <c r="X48" s="109">
        <f t="shared" si="58"/>
        <v>2.7014444352296677E-2</v>
      </c>
      <c r="Y48" s="109">
        <f t="shared" si="58"/>
        <v>3.5447309695424437E-2</v>
      </c>
      <c r="Z48" s="109">
        <f t="shared" si="58"/>
        <v>3.8422263471976852E-2</v>
      </c>
      <c r="AA48" s="109">
        <f t="shared" si="58"/>
        <v>4.0042796090308204E-2</v>
      </c>
      <c r="AB48" s="109">
        <f t="shared" si="58"/>
        <v>4.420862047534771E-2</v>
      </c>
      <c r="AC48" s="109">
        <f t="shared" si="58"/>
        <v>4.9304610403085057E-2</v>
      </c>
      <c r="AE48" s="68">
        <f t="shared" si="58"/>
        <v>0.11579457646258443</v>
      </c>
      <c r="AF48" s="9">
        <f t="shared" si="58"/>
        <v>1.6580924110656006E-2</v>
      </c>
      <c r="AG48" s="9">
        <f t="shared" si="58"/>
        <v>2.4097428257042981E-2</v>
      </c>
      <c r="AH48" s="9">
        <f t="shared" si="58"/>
        <v>2.6580858194071296E-2</v>
      </c>
      <c r="AI48" s="9">
        <f t="shared" si="58"/>
        <v>2.8104371658753218E-2</v>
      </c>
      <c r="AJ48" s="9">
        <f t="shared" si="58"/>
        <v>3.0027435393874903E-2</v>
      </c>
      <c r="AL48" s="2">
        <f t="shared" si="58"/>
        <v>8.1557165537827769E-2</v>
      </c>
      <c r="AM48" s="6">
        <f t="shared" si="58"/>
        <v>306.56371067039294</v>
      </c>
      <c r="AN48" s="6">
        <f t="shared" si="58"/>
        <v>135.11808930092707</v>
      </c>
      <c r="AO48" s="6">
        <f t="shared" si="58"/>
        <v>100.43147825922597</v>
      </c>
      <c r="AP48" s="6">
        <f t="shared" si="58"/>
        <v>670.22543871446715</v>
      </c>
      <c r="AQ48" s="6">
        <f t="shared" si="58"/>
        <v>594.49541943847976</v>
      </c>
      <c r="AR48" s="6">
        <f t="shared" si="58"/>
        <v>220.96877599108862</v>
      </c>
      <c r="AT48" s="2">
        <f t="shared" si="58"/>
        <v>5.5955281342465982E-2</v>
      </c>
      <c r="AU48" s="2">
        <f t="shared" si="58"/>
        <v>4.9990565462010188E-2</v>
      </c>
      <c r="AV48" s="2">
        <f t="shared" si="58"/>
        <v>6.2501325598885452E-2</v>
      </c>
      <c r="AW48" s="2">
        <f t="shared" si="58"/>
        <v>4.2752226902664628E-2</v>
      </c>
      <c r="AX48" s="2">
        <f t="shared" si="58"/>
        <v>7.9522973560707221E-3</v>
      </c>
      <c r="AY48" s="25">
        <f t="shared" si="58"/>
        <v>7.4224291714370789</v>
      </c>
      <c r="AZ48" s="2">
        <f t="shared" si="58"/>
        <v>2.1658680707743905E-2</v>
      </c>
      <c r="BA48" s="18">
        <f t="shared" si="58"/>
        <v>25983.345781480875</v>
      </c>
      <c r="BB48" s="18">
        <f t="shared" si="58"/>
        <v>20989.686982063438</v>
      </c>
      <c r="BC48" s="9">
        <f t="shared" si="58"/>
        <v>0.75610221005496503</v>
      </c>
      <c r="BD48" s="9">
        <f t="shared" si="58"/>
        <v>0.65351515824041861</v>
      </c>
      <c r="BE48" s="9">
        <f t="shared" si="58"/>
        <v>1.1348144599228551</v>
      </c>
      <c r="BF48" s="9">
        <f t="shared" si="58"/>
        <v>2.1809011609424274</v>
      </c>
      <c r="BG48" s="9">
        <f t="shared" si="58"/>
        <v>2.3661914218845443</v>
      </c>
      <c r="BH48" s="9">
        <f t="shared" si="58"/>
        <v>1.4495476882289882</v>
      </c>
      <c r="BI48" s="9">
        <f t="shared" si="58"/>
        <v>0.9902111231702071</v>
      </c>
      <c r="BJ48" s="9">
        <f t="shared" si="58"/>
        <v>1.0282110415911718</v>
      </c>
      <c r="BK48" s="9">
        <f t="shared" si="58"/>
        <v>0.15645444640533551</v>
      </c>
      <c r="BL48" s="9">
        <f t="shared" si="58"/>
        <v>1.6120408265456607</v>
      </c>
      <c r="BM48" s="9">
        <f t="shared" si="58"/>
        <v>3.4882496754748034</v>
      </c>
      <c r="BN48" s="9">
        <f t="shared" si="58"/>
        <v>5.5164935534268524</v>
      </c>
      <c r="BO48" s="9">
        <f t="shared" si="58"/>
        <v>6.692553551896312</v>
      </c>
      <c r="BP48" s="9">
        <f t="shared" si="58"/>
        <v>7.6089639403140783</v>
      </c>
      <c r="BQ48" s="9">
        <f t="shared" ref="BQ48:CH48" si="59">STDEV(BQ18,BQ20,BQ22)</f>
        <v>8.378366828923161</v>
      </c>
      <c r="BR48" s="9">
        <f t="shared" si="59"/>
        <v>8.6416226835589196</v>
      </c>
      <c r="BS48" s="9">
        <f t="shared" si="59"/>
        <v>8.1113633083471317</v>
      </c>
      <c r="BT48" s="9">
        <f t="shared" si="59"/>
        <v>6.7759921520763404</v>
      </c>
      <c r="BU48" s="9">
        <f t="shared" si="59"/>
        <v>5.316028780960468</v>
      </c>
      <c r="BV48" s="9">
        <f t="shared" si="59"/>
        <v>3.7138662361479864</v>
      </c>
      <c r="BW48" s="9">
        <f t="shared" si="59"/>
        <v>2.6254167678675309</v>
      </c>
      <c r="BX48" s="9">
        <f t="shared" si="59"/>
        <v>2.0361846871047824</v>
      </c>
      <c r="BY48" s="9">
        <f t="shared" si="59"/>
        <v>1.5777673608615441</v>
      </c>
      <c r="BZ48" s="9">
        <f t="shared" si="59"/>
        <v>1.2528517949063243</v>
      </c>
      <c r="CA48" s="9">
        <f t="shared" si="59"/>
        <v>1.0247391472955454</v>
      </c>
      <c r="CB48" s="9">
        <f t="shared" si="59"/>
        <v>0.88907364025709312</v>
      </c>
      <c r="CC48" s="9">
        <f t="shared" si="59"/>
        <v>0.75523246871410399</v>
      </c>
      <c r="CD48" s="9">
        <f t="shared" si="59"/>
        <v>0.62243781520727015</v>
      </c>
      <c r="CE48" s="9">
        <f t="shared" si="59"/>
        <v>0.52588945530405717</v>
      </c>
      <c r="CF48" s="9">
        <f t="shared" si="59"/>
        <v>0.46393275913649179</v>
      </c>
      <c r="CG48" s="9">
        <f t="shared" si="59"/>
        <v>0.40616213511355309</v>
      </c>
      <c r="CH48" s="9">
        <f t="shared" si="59"/>
        <v>0.35220988770901762</v>
      </c>
    </row>
    <row r="49" spans="1:86" s="37" customFormat="1">
      <c r="A49" s="53"/>
      <c r="B49" s="53"/>
      <c r="C49" s="53"/>
      <c r="D49" s="53"/>
      <c r="E49" s="53"/>
      <c r="F49" s="54" t="s">
        <v>493</v>
      </c>
      <c r="G49" s="55">
        <f>G48/G47</f>
        <v>4.5139086527896589E-2</v>
      </c>
      <c r="H49" s="55">
        <f t="shared" ref="H49:BP49" si="60">H48/H47</f>
        <v>0.37382866719333757</v>
      </c>
      <c r="I49" s="55">
        <f t="shared" si="60"/>
        <v>7.733044788253525E-2</v>
      </c>
      <c r="J49" s="55">
        <f t="shared" si="60"/>
        <v>3.8493237839511828E-2</v>
      </c>
      <c r="K49" s="55">
        <f t="shared" si="60"/>
        <v>0.40733389817338439</v>
      </c>
      <c r="L49" s="55">
        <f t="shared" si="60"/>
        <v>0.12849680483220766</v>
      </c>
      <c r="M49" s="55">
        <f t="shared" si="60"/>
        <v>6.1866153717323763E-2</v>
      </c>
      <c r="N49" s="55">
        <f t="shared" si="60"/>
        <v>4.3907700466569992E-2</v>
      </c>
      <c r="O49" s="55">
        <f t="shared" si="60"/>
        <v>4.6120240440745405E-2</v>
      </c>
      <c r="P49" s="55">
        <f t="shared" si="60"/>
        <v>9.3447798244070818E-2</v>
      </c>
      <c r="Q49" s="55">
        <f t="shared" si="60"/>
        <v>2.1901780937826541E-2</v>
      </c>
      <c r="R49" s="55">
        <f t="shared" si="60"/>
        <v>0.71999303017962124</v>
      </c>
      <c r="S49" s="55">
        <f t="shared" si="60"/>
        <v>7.2177787640915231E-2</v>
      </c>
      <c r="T49" s="55">
        <f t="shared" si="60"/>
        <v>0.20648445322298256</v>
      </c>
      <c r="U49" s="55">
        <f t="shared" si="60"/>
        <v>0.80018334098079802</v>
      </c>
      <c r="V49" s="55">
        <f t="shared" si="60"/>
        <v>0.17869024124933808</v>
      </c>
      <c r="W49" s="55">
        <f t="shared" si="60"/>
        <v>0.39001747197814357</v>
      </c>
      <c r="X49" s="55">
        <f t="shared" si="60"/>
        <v>0.38808801275355909</v>
      </c>
      <c r="Y49" s="55">
        <f t="shared" si="60"/>
        <v>0.3670640040670855</v>
      </c>
      <c r="Z49" s="55">
        <f t="shared" si="60"/>
        <v>0.34885374856750362</v>
      </c>
      <c r="AA49" s="55">
        <f t="shared" si="60"/>
        <v>0.32757496181947005</v>
      </c>
      <c r="AB49" s="55">
        <f t="shared" si="60"/>
        <v>0.31571647577251688</v>
      </c>
      <c r="AC49" s="55">
        <f t="shared" si="60"/>
        <v>0.32875877099115208</v>
      </c>
      <c r="AD49" s="55"/>
      <c r="AE49" s="55">
        <f t="shared" si="60"/>
        <v>5.9778557769532802E-2</v>
      </c>
      <c r="AF49" s="55">
        <f t="shared" si="60"/>
        <v>0.17414296898253176</v>
      </c>
      <c r="AG49" s="55">
        <f t="shared" si="60"/>
        <v>0.20636948982794981</v>
      </c>
      <c r="AH49" s="55">
        <f t="shared" si="60"/>
        <v>0.21148174214120044</v>
      </c>
      <c r="AI49" s="55">
        <f t="shared" si="60"/>
        <v>0.21520305825725311</v>
      </c>
      <c r="AJ49" s="55">
        <f t="shared" si="60"/>
        <v>0.22391545265811935</v>
      </c>
      <c r="AK49" s="55"/>
      <c r="AL49" s="55">
        <f t="shared" si="60"/>
        <v>5.8010335923175525E-2</v>
      </c>
      <c r="AM49" s="55">
        <f t="shared" si="60"/>
        <v>0.22391623012956907</v>
      </c>
      <c r="AN49" s="55">
        <f t="shared" si="60"/>
        <v>0.20560651274167763</v>
      </c>
      <c r="AO49" s="55">
        <f t="shared" si="60"/>
        <v>0.20722033835220538</v>
      </c>
      <c r="AP49" s="55">
        <f t="shared" si="60"/>
        <v>0.35066469874664741</v>
      </c>
      <c r="AQ49" s="55">
        <f t="shared" si="60"/>
        <v>0.35548788188890179</v>
      </c>
      <c r="AR49" s="55">
        <f t="shared" si="60"/>
        <v>0.35196983780194613</v>
      </c>
      <c r="AS49" s="55"/>
      <c r="AT49" s="55">
        <f t="shared" si="60"/>
        <v>9.735547956972912E-2</v>
      </c>
      <c r="AU49" s="55">
        <f t="shared" si="60"/>
        <v>7.0452656725216736E-2</v>
      </c>
      <c r="AV49" s="55">
        <f t="shared" si="60"/>
        <v>0.11243755155275917</v>
      </c>
      <c r="AW49" s="55">
        <f t="shared" si="60"/>
        <v>2.8005791848582061E-2</v>
      </c>
      <c r="AX49" s="55">
        <f t="shared" si="60"/>
        <v>4.5409308907087779E-3</v>
      </c>
      <c r="AY49" s="55">
        <f t="shared" si="60"/>
        <v>0.10232039888362629</v>
      </c>
      <c r="AZ49" s="55">
        <f t="shared" si="60"/>
        <v>2.1191721132587341E-2</v>
      </c>
      <c r="BA49" s="55">
        <f t="shared" si="60"/>
        <v>0.14359723774762015</v>
      </c>
      <c r="BB49" s="55">
        <f t="shared" si="60"/>
        <v>0.18293411861143558</v>
      </c>
      <c r="BC49" s="55">
        <f t="shared" si="60"/>
        <v>0.33410391173733311</v>
      </c>
      <c r="BD49" s="55">
        <f t="shared" si="60"/>
        <v>0.26566574789796338</v>
      </c>
      <c r="BE49" s="55">
        <f t="shared" si="60"/>
        <v>0.30406901751505655</v>
      </c>
      <c r="BF49" s="55">
        <f t="shared" si="60"/>
        <v>0.28750315212419586</v>
      </c>
      <c r="BG49" s="55">
        <f t="shared" si="60"/>
        <v>0.30783970497194335</v>
      </c>
      <c r="BH49" s="55">
        <f t="shared" si="60"/>
        <v>0.3955222968813536</v>
      </c>
      <c r="BI49" s="55">
        <f t="shared" si="60"/>
        <v>0.31858178427931644</v>
      </c>
      <c r="BJ49" s="55">
        <f t="shared" si="60"/>
        <v>0.23936182696881181</v>
      </c>
      <c r="BK49" s="55">
        <f t="shared" si="60"/>
        <v>2.5457629815632363E-2</v>
      </c>
      <c r="BL49" s="55">
        <f t="shared" si="60"/>
        <v>0.18967161010830666</v>
      </c>
      <c r="BM49" s="55">
        <f t="shared" si="60"/>
        <v>0.30992242058693609</v>
      </c>
      <c r="BN49" s="55">
        <f t="shared" si="60"/>
        <v>0.39063256515048222</v>
      </c>
      <c r="BO49" s="55">
        <f t="shared" si="60"/>
        <v>0.38128016543731147</v>
      </c>
      <c r="BP49" s="55">
        <f t="shared" si="60"/>
        <v>0.34489550601673391</v>
      </c>
      <c r="BQ49" s="55">
        <f t="shared" ref="BQ49:CH49" si="61">BQ48/BQ47</f>
        <v>0.32116034425759016</v>
      </c>
      <c r="BR49" s="55">
        <f t="shared" si="61"/>
        <v>0.29546787077618986</v>
      </c>
      <c r="BS49" s="55">
        <f t="shared" si="61"/>
        <v>0.25987714165079573</v>
      </c>
      <c r="BT49" s="55">
        <f t="shared" si="61"/>
        <v>0.21193354086985872</v>
      </c>
      <c r="BU49" s="55">
        <f t="shared" si="61"/>
        <v>0.17151080263654386</v>
      </c>
      <c r="BV49" s="55">
        <f t="shared" si="61"/>
        <v>0.13137918573624824</v>
      </c>
      <c r="BW49" s="55">
        <f t="shared" si="61"/>
        <v>0.10361149166474398</v>
      </c>
      <c r="BX49" s="55">
        <f t="shared" si="61"/>
        <v>9.1731600702105773E-2</v>
      </c>
      <c r="BY49" s="55">
        <f t="shared" si="61"/>
        <v>8.1107259905954354E-2</v>
      </c>
      <c r="BZ49" s="55">
        <f t="shared" si="61"/>
        <v>7.3231926286317764E-2</v>
      </c>
      <c r="CA49" s="55">
        <f t="shared" si="61"/>
        <v>7.3302989899177037E-2</v>
      </c>
      <c r="CB49" s="55">
        <f t="shared" si="61"/>
        <v>8.834083425562797E-2</v>
      </c>
      <c r="CC49" s="55">
        <f t="shared" si="61"/>
        <v>0.10940609598611969</v>
      </c>
      <c r="CD49" s="55">
        <f t="shared" si="61"/>
        <v>0.13845550856780886</v>
      </c>
      <c r="CE49" s="55">
        <f t="shared" si="61"/>
        <v>0.17867159146410941</v>
      </c>
      <c r="CF49" s="55">
        <f t="shared" si="61"/>
        <v>0.20663867693617849</v>
      </c>
      <c r="CG49" s="55">
        <f t="shared" si="61"/>
        <v>0.23389026236708019</v>
      </c>
      <c r="CH49" s="55">
        <f t="shared" si="61"/>
        <v>0.24868310930524437</v>
      </c>
    </row>
    <row r="50" spans="1:86" ht="45">
      <c r="A50" s="4"/>
      <c r="B50" s="3"/>
      <c r="C50" s="3"/>
      <c r="D50" s="3"/>
      <c r="E50" s="22" t="s">
        <v>507</v>
      </c>
      <c r="F50" s="22"/>
      <c r="G50" s="11" t="str">
        <f t="shared" ref="G50:V50" si="62">G1</f>
        <v>Chimney CO2 (%)</v>
      </c>
      <c r="H50" s="11" t="str">
        <f t="shared" si="62"/>
        <v>Chimney CO (%)</v>
      </c>
      <c r="I50" s="11" t="str">
        <f t="shared" si="62"/>
        <v>Chimney O2 (%)</v>
      </c>
      <c r="J50" s="11" t="str">
        <f t="shared" si="62"/>
        <v>CO2 10" (ppm)</v>
      </c>
      <c r="K50" s="11" t="str">
        <f t="shared" si="62"/>
        <v>CO 10" (ppm)</v>
      </c>
      <c r="L50" s="11" t="str">
        <f t="shared" si="62"/>
        <v>THC 10" (ppm)</v>
      </c>
      <c r="M50" s="11" t="str">
        <f t="shared" si="62"/>
        <v>CH4 10" (ppm)</v>
      </c>
      <c r="N50" s="11" t="str">
        <f t="shared" si="62"/>
        <v>NOx 10" (ppm)</v>
      </c>
      <c r="O50" s="11" t="str">
        <f t="shared" si="62"/>
        <v>NO 10" (ppm)</v>
      </c>
      <c r="P50" s="11" t="str">
        <f t="shared" si="62"/>
        <v>CO2 man (ppm)</v>
      </c>
      <c r="Q50" s="11" t="str">
        <f t="shared" si="62"/>
        <v>DR CO2</v>
      </c>
      <c r="R50" s="11" t="str">
        <f t="shared" si="62"/>
        <v>DR CO</v>
      </c>
      <c r="S50" s="11" t="str">
        <f t="shared" si="62"/>
        <v>DR manifold</v>
      </c>
      <c r="T50" s="11" t="str">
        <f t="shared" si="62"/>
        <v>PM 10" Conc. (mg/m3)</v>
      </c>
      <c r="U50" s="11" t="str">
        <f t="shared" si="62"/>
        <v>EC 10" Conc. (mg/m3)</v>
      </c>
      <c r="V50" s="11" t="str">
        <f t="shared" si="62"/>
        <v>OC 10" Conc. (mg/m3)</v>
      </c>
      <c r="W50" s="11" t="str">
        <f t="shared" ref="W50:BB50" si="63">W1</f>
        <v>AE33 BC7 (mg/m3)</v>
      </c>
      <c r="X50" s="11" t="str">
        <f t="shared" si="63"/>
        <v>AE33 BC6 (mg/m3)</v>
      </c>
      <c r="Y50" s="11" t="str">
        <f t="shared" si="63"/>
        <v>AE33 BC5 (mg/m3)</v>
      </c>
      <c r="Z50" s="11" t="str">
        <f t="shared" si="63"/>
        <v>AE33 BC4 (mg/m3)</v>
      </c>
      <c r="AA50" s="11" t="str">
        <f t="shared" si="63"/>
        <v>AE33 BC3 (mg/m3)</v>
      </c>
      <c r="AB50" s="11" t="str">
        <f t="shared" si="63"/>
        <v>AE33 BC2 (mg/m3)</v>
      </c>
      <c r="AC50" s="11" t="str">
        <f t="shared" si="63"/>
        <v>AE33 BC1 (mg/m3)</v>
      </c>
      <c r="AD50" s="11"/>
      <c r="AE50" s="11" t="str">
        <f t="shared" si="63"/>
        <v>AE33 AAE</v>
      </c>
      <c r="AF50" s="11" t="str">
        <f t="shared" si="63"/>
        <v>MA350 BCir (mg/m3)</v>
      </c>
      <c r="AG50" s="11" t="str">
        <f t="shared" si="63"/>
        <v>MA350 BCred (mg/m3)</v>
      </c>
      <c r="AH50" s="11" t="str">
        <f t="shared" si="63"/>
        <v>MA350 BCgreen (mg/m3)</v>
      </c>
      <c r="AI50" s="11" t="str">
        <f t="shared" si="63"/>
        <v>MA350 BCblue (mg/m3)</v>
      </c>
      <c r="AJ50" s="11" t="str">
        <f t="shared" si="63"/>
        <v>MA350 BCuv (mg/m3)</v>
      </c>
      <c r="AK50" s="11"/>
      <c r="AL50" s="11" t="str">
        <f t="shared" si="63"/>
        <v>MA350 - AAE</v>
      </c>
      <c r="AM50" s="11" t="str">
        <f t="shared" si="63"/>
        <v>Babs 405 (Mm-1)</v>
      </c>
      <c r="AN50" s="11" t="str">
        <f t="shared" si="63"/>
        <v>Babs 532 (Mm-1)</v>
      </c>
      <c r="AO50" s="11" t="str">
        <f t="shared" si="63"/>
        <v>Babs 781 (Mm-1)</v>
      </c>
      <c r="AP50" s="11" t="str">
        <f t="shared" si="63"/>
        <v>Bsca 405 (Mm-1)</v>
      </c>
      <c r="AQ50" s="11" t="str">
        <f t="shared" si="63"/>
        <v>Bsca 532 (Mm-1)</v>
      </c>
      <c r="AR50" s="11" t="str">
        <f t="shared" si="63"/>
        <v>Bsca 781 (Mm-1)</v>
      </c>
      <c r="AS50" s="11"/>
      <c r="AT50" s="11" t="str">
        <f t="shared" si="63"/>
        <v>SSA 405</v>
      </c>
      <c r="AU50" s="11" t="str">
        <f t="shared" si="63"/>
        <v>SSA 532</v>
      </c>
      <c r="AV50" s="11" t="str">
        <f t="shared" si="63"/>
        <v>SSA 781</v>
      </c>
      <c r="AW50" s="11" t="str">
        <f t="shared" si="63"/>
        <v>PASS-3 AAE</v>
      </c>
      <c r="AX50" s="11" t="str">
        <f t="shared" si="63"/>
        <v>SAE</v>
      </c>
      <c r="AY50" s="11" t="str">
        <f t="shared" si="63"/>
        <v>EEPS Dmed (nm)</v>
      </c>
      <c r="AZ50" s="11" t="str">
        <f t="shared" si="63"/>
        <v>EEPS geo mean</v>
      </c>
      <c r="BA50" s="11" t="str">
        <f t="shared" si="63"/>
        <v>EEPS (#/cm3)</v>
      </c>
      <c r="BB50" s="11" t="str">
        <f t="shared" si="63"/>
        <v>EEPS UFP (#/cm3)</v>
      </c>
      <c r="BC50" s="159">
        <f t="shared" ref="BC50:CH50" si="64">BC1</f>
        <v>6.04</v>
      </c>
      <c r="BD50" s="159">
        <f t="shared" si="64"/>
        <v>6.98</v>
      </c>
      <c r="BE50" s="159">
        <f t="shared" si="64"/>
        <v>8.06</v>
      </c>
      <c r="BF50" s="159">
        <f t="shared" si="64"/>
        <v>9.31</v>
      </c>
      <c r="BG50" s="159">
        <f t="shared" si="64"/>
        <v>10.8</v>
      </c>
      <c r="BH50" s="159">
        <f t="shared" si="64"/>
        <v>12.4</v>
      </c>
      <c r="BI50" s="159">
        <f t="shared" si="64"/>
        <v>14.3</v>
      </c>
      <c r="BJ50" s="159">
        <f t="shared" si="64"/>
        <v>16.5</v>
      </c>
      <c r="BK50" s="159">
        <f t="shared" si="64"/>
        <v>19.100000000000001</v>
      </c>
      <c r="BL50" s="159">
        <f t="shared" si="64"/>
        <v>22.1</v>
      </c>
      <c r="BM50" s="159">
        <f t="shared" si="64"/>
        <v>25.5</v>
      </c>
      <c r="BN50" s="159">
        <f t="shared" si="64"/>
        <v>29.4</v>
      </c>
      <c r="BO50" s="159">
        <f t="shared" si="64"/>
        <v>34</v>
      </c>
      <c r="BP50" s="159">
        <f t="shared" si="64"/>
        <v>39.200000000000003</v>
      </c>
      <c r="BQ50" s="159">
        <f t="shared" si="64"/>
        <v>45.3</v>
      </c>
      <c r="BR50" s="159">
        <f t="shared" si="64"/>
        <v>52.3</v>
      </c>
      <c r="BS50" s="159">
        <f t="shared" si="64"/>
        <v>60.4</v>
      </c>
      <c r="BT50" s="159">
        <f t="shared" si="64"/>
        <v>69.8</v>
      </c>
      <c r="BU50" s="159">
        <f t="shared" si="64"/>
        <v>80.599999999999994</v>
      </c>
      <c r="BV50" s="159">
        <f t="shared" si="64"/>
        <v>93.1</v>
      </c>
      <c r="BW50" s="159">
        <f t="shared" si="64"/>
        <v>107.5</v>
      </c>
      <c r="BX50" s="159">
        <f t="shared" si="64"/>
        <v>124.1</v>
      </c>
      <c r="BY50" s="159">
        <f t="shared" si="64"/>
        <v>143.30000000000001</v>
      </c>
      <c r="BZ50" s="159">
        <f t="shared" si="64"/>
        <v>165.5</v>
      </c>
      <c r="CA50" s="159">
        <f t="shared" si="64"/>
        <v>191.1</v>
      </c>
      <c r="CB50" s="159">
        <f t="shared" si="64"/>
        <v>220.7</v>
      </c>
      <c r="CC50" s="159">
        <f t="shared" si="64"/>
        <v>254.8</v>
      </c>
      <c r="CD50" s="159">
        <f t="shared" si="64"/>
        <v>294.3</v>
      </c>
      <c r="CE50" s="159">
        <f t="shared" si="64"/>
        <v>339.8</v>
      </c>
      <c r="CF50" s="159">
        <f t="shared" si="64"/>
        <v>392.4</v>
      </c>
      <c r="CG50" s="159">
        <f t="shared" si="64"/>
        <v>453.2</v>
      </c>
      <c r="CH50" s="159">
        <f t="shared" si="64"/>
        <v>523.29999999999995</v>
      </c>
    </row>
    <row r="51" spans="1:86">
      <c r="A51" s="20"/>
      <c r="B51" s="20"/>
      <c r="C51" s="20"/>
      <c r="D51" s="20"/>
      <c r="E51" s="20" t="s">
        <v>500</v>
      </c>
      <c r="F51" s="22" t="s">
        <v>501</v>
      </c>
      <c r="G51" s="9">
        <f t="shared" ref="G51" si="65">G32</f>
        <v>8.9852683333333339</v>
      </c>
      <c r="H51" s="9">
        <f t="shared" ref="H51:BP51" si="66">H32</f>
        <v>0.78561333333333339</v>
      </c>
      <c r="I51" s="9">
        <f t="shared" si="66"/>
        <v>11.329028333333333</v>
      </c>
      <c r="J51" s="6">
        <f t="shared" si="66"/>
        <v>2323.52</v>
      </c>
      <c r="K51" s="25">
        <f t="shared" si="66"/>
        <v>126.88516666666665</v>
      </c>
      <c r="L51" s="25">
        <f t="shared" si="66"/>
        <v>84.451733333333337</v>
      </c>
      <c r="M51" s="9">
        <f t="shared" si="66"/>
        <v>17.1038</v>
      </c>
      <c r="N51" s="9">
        <f t="shared" si="66"/>
        <v>1.7637533333333335</v>
      </c>
      <c r="O51" s="9">
        <f t="shared" si="66"/>
        <v>1.5072083333333335</v>
      </c>
      <c r="P51" s="25">
        <f t="shared" si="66"/>
        <v>171.46116666666668</v>
      </c>
      <c r="Q51" s="25">
        <f t="shared" si="66"/>
        <v>65.797250000000005</v>
      </c>
      <c r="R51" s="25">
        <f t="shared" si="66"/>
        <v>62.990816666666667</v>
      </c>
      <c r="S51" s="25">
        <f t="shared" si="66"/>
        <v>13.5509</v>
      </c>
      <c r="T51" s="2">
        <f t="shared" si="66"/>
        <v>23.987200000000001</v>
      </c>
      <c r="U51" s="2">
        <f t="shared" si="66"/>
        <v>0.83137683333333323</v>
      </c>
      <c r="V51" s="2">
        <f t="shared" si="66"/>
        <v>14.6081</v>
      </c>
      <c r="W51" s="109">
        <f t="shared" si="66"/>
        <v>1.587248</v>
      </c>
      <c r="X51" s="109">
        <f t="shared" si="66"/>
        <v>1.5778799999999999</v>
      </c>
      <c r="Y51" s="109">
        <f t="shared" si="66"/>
        <v>1.9953720000000001</v>
      </c>
      <c r="Z51" s="109">
        <f t="shared" si="66"/>
        <v>2.2591200000000002</v>
      </c>
      <c r="AA51" s="109">
        <f t="shared" si="66"/>
        <v>2.5385660000000003</v>
      </c>
      <c r="AB51" s="109">
        <f t="shared" si="66"/>
        <v>3.118182</v>
      </c>
      <c r="AC51" s="109">
        <f t="shared" si="66"/>
        <v>4.5692519999999996</v>
      </c>
      <c r="AE51" s="68">
        <f t="shared" si="66"/>
        <v>2.101671333821983</v>
      </c>
      <c r="AF51" s="9">
        <f t="shared" si="66"/>
        <v>1.8998166666666665</v>
      </c>
      <c r="AG51" s="9">
        <f t="shared" si="66"/>
        <v>2.2899183333333335</v>
      </c>
      <c r="AH51" s="9">
        <f t="shared" si="66"/>
        <v>2.5546350000000002</v>
      </c>
      <c r="AI51" s="9">
        <f t="shared" si="66"/>
        <v>2.890216666666666</v>
      </c>
      <c r="AJ51" s="9">
        <f t="shared" si="66"/>
        <v>3.7124116666666667</v>
      </c>
      <c r="AL51" s="2">
        <f t="shared" si="66"/>
        <v>1.7687424194352899</v>
      </c>
      <c r="AM51" s="6">
        <f t="shared" si="66"/>
        <v>22831.920000000002</v>
      </c>
      <c r="AN51" s="6">
        <f t="shared" si="66"/>
        <v>10233.725</v>
      </c>
      <c r="AO51" s="6">
        <f t="shared" si="66"/>
        <v>5492.4416666666666</v>
      </c>
      <c r="AP51" s="6">
        <f t="shared" si="66"/>
        <v>146898.20000000001</v>
      </c>
      <c r="AQ51" s="6">
        <f t="shared" si="66"/>
        <v>107501.75</v>
      </c>
      <c r="AR51" s="6">
        <f t="shared" si="66"/>
        <v>45282.333333333336</v>
      </c>
      <c r="AT51" s="2">
        <f t="shared" si="66"/>
        <v>0.86480610815604986</v>
      </c>
      <c r="AU51" s="2">
        <f t="shared" si="66"/>
        <v>0.91205578342000349</v>
      </c>
      <c r="AV51" s="2">
        <f t="shared" si="66"/>
        <v>0.88675286693995314</v>
      </c>
      <c r="AW51" s="2">
        <f t="shared" si="66"/>
        <v>2.0177222863979871</v>
      </c>
      <c r="AX51" s="2">
        <f t="shared" si="66"/>
        <v>1.9790896281687498</v>
      </c>
      <c r="AY51" s="25">
        <f t="shared" si="66"/>
        <v>115.74493333333332</v>
      </c>
      <c r="AZ51" s="2">
        <f t="shared" si="66"/>
        <v>1.0492971666666666</v>
      </c>
      <c r="BA51" s="18">
        <f t="shared" si="66"/>
        <v>1788045</v>
      </c>
      <c r="BB51" s="18">
        <f t="shared" si="66"/>
        <v>695915</v>
      </c>
      <c r="BC51" s="9">
        <f t="shared" si="66"/>
        <v>3.4933933333333331</v>
      </c>
      <c r="BD51" s="9">
        <f t="shared" si="66"/>
        <v>3.6123083333333335</v>
      </c>
      <c r="BE51" s="9">
        <f t="shared" si="66"/>
        <v>4.3177549999999991</v>
      </c>
      <c r="BF51" s="9">
        <f t="shared" si="66"/>
        <v>7.2394766666666657</v>
      </c>
      <c r="BG51" s="9">
        <f t="shared" si="66"/>
        <v>7.6120633333333343</v>
      </c>
      <c r="BH51" s="9">
        <f t="shared" si="66"/>
        <v>6.3199600000000009</v>
      </c>
      <c r="BI51" s="9">
        <f t="shared" si="66"/>
        <v>11.393735</v>
      </c>
      <c r="BJ51" s="9">
        <f t="shared" si="66"/>
        <v>19.976716666666668</v>
      </c>
      <c r="BK51" s="9">
        <f t="shared" si="66"/>
        <v>29.763416666666668</v>
      </c>
      <c r="BL51" s="9">
        <f t="shared" si="66"/>
        <v>41.001333333333335</v>
      </c>
      <c r="BM51" s="9">
        <f t="shared" si="66"/>
        <v>51.800166666666676</v>
      </c>
      <c r="BN51" s="9">
        <f t="shared" si="66"/>
        <v>61.823983333333331</v>
      </c>
      <c r="BO51" s="9">
        <f t="shared" si="66"/>
        <v>83.71</v>
      </c>
      <c r="BP51" s="9">
        <f t="shared" si="66"/>
        <v>120.41211666666668</v>
      </c>
      <c r="BQ51" s="9">
        <f t="shared" ref="BQ51:CH51" si="67">BQ32</f>
        <v>157.4731166666667</v>
      </c>
      <c r="BR51" s="9">
        <f t="shared" si="67"/>
        <v>194.64390000000003</v>
      </c>
      <c r="BS51" s="9">
        <f t="shared" si="67"/>
        <v>231.1644</v>
      </c>
      <c r="BT51" s="9">
        <f t="shared" si="67"/>
        <v>267.22933333333333</v>
      </c>
      <c r="BU51" s="9">
        <f t="shared" si="67"/>
        <v>290.24949999999995</v>
      </c>
      <c r="BV51" s="9">
        <f t="shared" si="67"/>
        <v>301.72216666666662</v>
      </c>
      <c r="BW51" s="9">
        <f t="shared" si="67"/>
        <v>303.86916666666667</v>
      </c>
      <c r="BX51" s="9">
        <f t="shared" si="67"/>
        <v>296.41316666666665</v>
      </c>
      <c r="BY51" s="9">
        <f t="shared" si="67"/>
        <v>290.863</v>
      </c>
      <c r="BZ51" s="9">
        <f t="shared" si="67"/>
        <v>287.20249999999999</v>
      </c>
      <c r="CA51" s="9">
        <f t="shared" si="67"/>
        <v>259.17316666666665</v>
      </c>
      <c r="CB51" s="9">
        <f t="shared" si="67"/>
        <v>206.77516666666668</v>
      </c>
      <c r="CC51" s="9">
        <f t="shared" si="67"/>
        <v>159.23983333333331</v>
      </c>
      <c r="CD51" s="9">
        <f t="shared" si="67"/>
        <v>116.56766666666665</v>
      </c>
      <c r="CE51" s="9">
        <f t="shared" si="67"/>
        <v>88.557583333333341</v>
      </c>
      <c r="CF51" s="9">
        <f t="shared" si="67"/>
        <v>75.209666666666678</v>
      </c>
      <c r="CG51" s="9">
        <f t="shared" si="67"/>
        <v>64.094566666666665</v>
      </c>
      <c r="CH51" s="9">
        <f t="shared" si="67"/>
        <v>55.212183333333336</v>
      </c>
    </row>
    <row r="52" spans="1:86">
      <c r="A52" s="20"/>
      <c r="B52" s="20"/>
      <c r="C52" s="20"/>
      <c r="D52" s="20"/>
      <c r="E52" s="20" t="s">
        <v>500</v>
      </c>
      <c r="F52" s="22" t="s">
        <v>504</v>
      </c>
      <c r="G52" s="9">
        <f t="shared" ref="G52" si="68">G35</f>
        <v>9.6149766666666654</v>
      </c>
      <c r="H52" s="9">
        <f t="shared" ref="H52:BP52" si="69">H35</f>
        <v>0.14833706666666666</v>
      </c>
      <c r="I52" s="9">
        <f t="shared" si="69"/>
        <v>11.215533333333335</v>
      </c>
      <c r="J52" s="6">
        <f t="shared" si="69"/>
        <v>1293.3433333333332</v>
      </c>
      <c r="K52" s="25">
        <f t="shared" si="69"/>
        <v>19.083449999999999</v>
      </c>
      <c r="L52" s="25">
        <f t="shared" si="69"/>
        <v>46.877133333333326</v>
      </c>
      <c r="M52" s="9">
        <f t="shared" si="69"/>
        <v>19.280333333333335</v>
      </c>
      <c r="N52" s="9">
        <f t="shared" si="69"/>
        <v>0.79770166666666675</v>
      </c>
      <c r="O52" s="9">
        <f t="shared" si="69"/>
        <v>0.75766299999999998</v>
      </c>
      <c r="P52" s="25">
        <f t="shared" si="69"/>
        <v>100.03533333333333</v>
      </c>
      <c r="Q52" s="25">
        <f t="shared" si="69"/>
        <v>112.745</v>
      </c>
      <c r="R52" s="25">
        <f t="shared" si="69"/>
        <v>42.770123333333324</v>
      </c>
      <c r="S52" s="25">
        <f t="shared" si="69"/>
        <v>13.032133333333332</v>
      </c>
      <c r="T52" s="2">
        <f t="shared" si="69"/>
        <v>5.5922200000000002</v>
      </c>
      <c r="U52" s="2">
        <f t="shared" si="69"/>
        <v>8.0848299999999998E-2</v>
      </c>
      <c r="V52" s="2">
        <f t="shared" si="69"/>
        <v>3.2030333333333334</v>
      </c>
      <c r="W52" s="109">
        <f t="shared" si="69"/>
        <v>0.16819566666666666</v>
      </c>
      <c r="X52" s="109">
        <f t="shared" si="69"/>
        <v>0.171898</v>
      </c>
      <c r="Y52" s="109">
        <f t="shared" si="69"/>
        <v>0.26625499999999996</v>
      </c>
      <c r="Z52" s="109">
        <f t="shared" si="69"/>
        <v>0.328156</v>
      </c>
      <c r="AA52" s="109">
        <f t="shared" si="69"/>
        <v>0.39784999999999998</v>
      </c>
      <c r="AB52" s="109">
        <f t="shared" si="69"/>
        <v>0.53124700000000002</v>
      </c>
      <c r="AC52" s="109">
        <f t="shared" si="69"/>
        <v>0.88034400000000002</v>
      </c>
      <c r="AE52" s="68">
        <f t="shared" si="69"/>
        <v>2.7671731531439807</v>
      </c>
      <c r="AF52" s="9">
        <f t="shared" si="69"/>
        <v>0.19793933333333333</v>
      </c>
      <c r="AG52" s="9">
        <f t="shared" si="69"/>
        <v>0.28762933333333335</v>
      </c>
      <c r="AH52" s="9">
        <f t="shared" si="69"/>
        <v>0.36047333333333337</v>
      </c>
      <c r="AI52" s="9">
        <f t="shared" si="69"/>
        <v>0.43387833333333331</v>
      </c>
      <c r="AJ52" s="9">
        <f t="shared" si="69"/>
        <v>0.60140499999999997</v>
      </c>
      <c r="AL52" s="2">
        <f t="shared" si="69"/>
        <v>2.3005158842328624</v>
      </c>
      <c r="AM52" s="6">
        <f t="shared" si="69"/>
        <v>3904.5550000000003</v>
      </c>
      <c r="AN52" s="6">
        <f t="shared" si="69"/>
        <v>1541.8266666666666</v>
      </c>
      <c r="AO52" s="6">
        <f t="shared" si="69"/>
        <v>660.08399999999995</v>
      </c>
      <c r="AP52" s="6">
        <f t="shared" si="69"/>
        <v>25311.599999999999</v>
      </c>
      <c r="AQ52" s="6">
        <f t="shared" si="69"/>
        <v>22613.266666666666</v>
      </c>
      <c r="AR52" s="6">
        <f t="shared" si="69"/>
        <v>8334.8533333333344</v>
      </c>
      <c r="AT52" s="2">
        <f t="shared" si="69"/>
        <v>0.86513325091932658</v>
      </c>
      <c r="AU52" s="2">
        <f t="shared" si="69"/>
        <v>0.92561225453542784</v>
      </c>
      <c r="AV52" s="2">
        <f t="shared" si="69"/>
        <v>0.90974696325798676</v>
      </c>
      <c r="AW52" s="2">
        <f t="shared" si="69"/>
        <v>2.468158361593753</v>
      </c>
      <c r="AX52" s="2">
        <f t="shared" si="69"/>
        <v>2.4290709813400468</v>
      </c>
      <c r="AY52" s="25">
        <f t="shared" si="69"/>
        <v>141.52433333333335</v>
      </c>
      <c r="AZ52" s="2">
        <f t="shared" si="69"/>
        <v>0.85180166666666679</v>
      </c>
      <c r="BA52" s="18">
        <f t="shared" si="69"/>
        <v>387218.33333333331</v>
      </c>
      <c r="BB52" s="18">
        <f t="shared" si="69"/>
        <v>92282.099999999991</v>
      </c>
      <c r="BC52" s="9">
        <f t="shared" si="69"/>
        <v>1.2092340000000001</v>
      </c>
      <c r="BD52" s="9">
        <f t="shared" si="69"/>
        <v>1.9734066666666668</v>
      </c>
      <c r="BE52" s="9">
        <f t="shared" si="69"/>
        <v>2.9954800000000001</v>
      </c>
      <c r="BF52" s="9">
        <f t="shared" si="69"/>
        <v>6.0365033333333331</v>
      </c>
      <c r="BG52" s="9">
        <f t="shared" si="69"/>
        <v>5.9384333333333332</v>
      </c>
      <c r="BH52" s="9">
        <f t="shared" si="69"/>
        <v>2.3035033333333335</v>
      </c>
      <c r="BI52" s="9">
        <f t="shared" si="69"/>
        <v>1.7171000000000001</v>
      </c>
      <c r="BJ52" s="9">
        <f t="shared" si="69"/>
        <v>2.6728566666666667</v>
      </c>
      <c r="BK52" s="9">
        <f t="shared" si="69"/>
        <v>3.2257866666666666</v>
      </c>
      <c r="BL52" s="9">
        <f t="shared" si="69"/>
        <v>2.9140433333333333</v>
      </c>
      <c r="BM52" s="9">
        <f t="shared" si="69"/>
        <v>2.8914566666666666</v>
      </c>
      <c r="BN52" s="9">
        <f t="shared" si="69"/>
        <v>3.3814833333333332</v>
      </c>
      <c r="BO52" s="9">
        <f t="shared" si="69"/>
        <v>5.424246666666666</v>
      </c>
      <c r="BP52" s="9">
        <f t="shared" si="69"/>
        <v>9.7051066666666674</v>
      </c>
      <c r="BQ52" s="9">
        <f t="shared" ref="BQ52:CH52" si="70">BQ35</f>
        <v>15.343133333333334</v>
      </c>
      <c r="BR52" s="9">
        <f t="shared" si="70"/>
        <v>22.29986666666667</v>
      </c>
      <c r="BS52" s="9">
        <f t="shared" si="70"/>
        <v>31.685966666666662</v>
      </c>
      <c r="BT52" s="9">
        <f t="shared" si="70"/>
        <v>43.39306666666667</v>
      </c>
      <c r="BU52" s="9">
        <f t="shared" si="70"/>
        <v>55.2483</v>
      </c>
      <c r="BV52" s="9">
        <f t="shared" si="70"/>
        <v>67.350966666666665</v>
      </c>
      <c r="BW52" s="9">
        <f t="shared" si="70"/>
        <v>76.970100000000002</v>
      </c>
      <c r="BX52" s="9">
        <f t="shared" si="70"/>
        <v>84.094366666666659</v>
      </c>
      <c r="BY52" s="9">
        <f t="shared" si="70"/>
        <v>88.45686666666667</v>
      </c>
      <c r="BZ52" s="9">
        <f t="shared" si="70"/>
        <v>90.057400000000015</v>
      </c>
      <c r="CA52" s="9">
        <f t="shared" si="70"/>
        <v>82.046933333333342</v>
      </c>
      <c r="CB52" s="9">
        <f t="shared" si="70"/>
        <v>64.425733333333326</v>
      </c>
      <c r="CC52" s="9">
        <f t="shared" si="70"/>
        <v>48.561233333333327</v>
      </c>
      <c r="CD52" s="9">
        <f t="shared" si="70"/>
        <v>34.453499999999998</v>
      </c>
      <c r="CE52" s="9">
        <f t="shared" si="70"/>
        <v>25.139966666666666</v>
      </c>
      <c r="CF52" s="9">
        <f t="shared" si="70"/>
        <v>20.620699999999999</v>
      </c>
      <c r="CG52" s="9">
        <f t="shared" si="70"/>
        <v>17.057566666666666</v>
      </c>
      <c r="CH52" s="9">
        <f t="shared" si="70"/>
        <v>14.450200000000001</v>
      </c>
    </row>
    <row r="53" spans="1:86">
      <c r="A53" s="20"/>
      <c r="B53" s="20"/>
      <c r="C53" s="20"/>
      <c r="D53" s="20"/>
      <c r="E53" s="20" t="s">
        <v>500</v>
      </c>
      <c r="F53" s="22" t="s">
        <v>505</v>
      </c>
      <c r="G53" s="9">
        <f t="shared" ref="G53" si="71">G38</f>
        <v>10.5159</v>
      </c>
      <c r="H53" s="9">
        <f t="shared" ref="H53:BP53" si="72">H38</f>
        <v>0.23972599999999999</v>
      </c>
      <c r="I53" s="9">
        <f t="shared" si="72"/>
        <v>9.9292266666666666</v>
      </c>
      <c r="J53" s="6">
        <f t="shared" si="72"/>
        <v>988.99766666666665</v>
      </c>
      <c r="K53" s="25">
        <f t="shared" si="72"/>
        <v>18.728433333333331</v>
      </c>
      <c r="L53" s="25">
        <f t="shared" si="72"/>
        <v>39.137599999999999</v>
      </c>
      <c r="M53" s="9">
        <f t="shared" si="72"/>
        <v>16.582750000000001</v>
      </c>
      <c r="N53" s="9">
        <f t="shared" si="72"/>
        <v>0.47950133333333333</v>
      </c>
      <c r="O53" s="9">
        <f t="shared" si="72"/>
        <v>0.45547766666666661</v>
      </c>
      <c r="P53" s="25">
        <f t="shared" si="72"/>
        <v>73.976766666666663</v>
      </c>
      <c r="Q53" s="25">
        <f t="shared" si="72"/>
        <v>203.79100000000003</v>
      </c>
      <c r="R53" s="25">
        <f t="shared" si="72"/>
        <v>13.221366666666674</v>
      </c>
      <c r="S53" s="25">
        <f t="shared" si="72"/>
        <v>13.4024</v>
      </c>
      <c r="T53" s="2">
        <f t="shared" si="72"/>
        <v>3.8073866666666665</v>
      </c>
      <c r="U53" s="2">
        <f t="shared" si="72"/>
        <v>3.9436100000000002E-2</v>
      </c>
      <c r="V53" s="2">
        <f t="shared" si="72"/>
        <v>2.14133</v>
      </c>
      <c r="W53" s="109">
        <f t="shared" si="72"/>
        <v>7.8134100000000012E-2</v>
      </c>
      <c r="X53" s="109">
        <f t="shared" si="72"/>
        <v>7.9669450000000003E-2</v>
      </c>
      <c r="Y53" s="109">
        <f t="shared" si="72"/>
        <v>0.12527549999999998</v>
      </c>
      <c r="Z53" s="109">
        <f t="shared" si="72"/>
        <v>0.15660099999999999</v>
      </c>
      <c r="AA53" s="109">
        <f t="shared" si="72"/>
        <v>0.19605050000000002</v>
      </c>
      <c r="AB53" s="109">
        <f t="shared" si="72"/>
        <v>0.26896100000000001</v>
      </c>
      <c r="AC53" s="109">
        <f t="shared" si="72"/>
        <v>0.50357750000000001</v>
      </c>
      <c r="AE53" s="68">
        <f t="shared" si="72"/>
        <v>2.9767778975296793</v>
      </c>
      <c r="AF53" s="9">
        <f t="shared" si="72"/>
        <v>9.123053333333335E-2</v>
      </c>
      <c r="AG53" s="9">
        <f t="shared" si="72"/>
        <v>0.13971799999999998</v>
      </c>
      <c r="AH53" s="9">
        <f t="shared" si="72"/>
        <v>0.17940799999999998</v>
      </c>
      <c r="AI53" s="9">
        <f t="shared" si="72"/>
        <v>0.21908066666666667</v>
      </c>
      <c r="AJ53" s="9">
        <f t="shared" si="72"/>
        <v>0.31820266666666669</v>
      </c>
      <c r="AL53" s="2">
        <f t="shared" si="72"/>
        <v>2.4714082207882417</v>
      </c>
      <c r="AM53" s="6">
        <f t="shared" si="72"/>
        <v>2020.5966666666666</v>
      </c>
      <c r="AN53" s="6">
        <f t="shared" si="72"/>
        <v>708.71966666666674</v>
      </c>
      <c r="AO53" s="6">
        <f t="shared" si="72"/>
        <v>261.60566666666671</v>
      </c>
      <c r="AP53" s="6">
        <f t="shared" si="72"/>
        <v>21065.233333333334</v>
      </c>
      <c r="AQ53" s="6">
        <f t="shared" si="72"/>
        <v>15063.38</v>
      </c>
      <c r="AR53" s="6">
        <f t="shared" si="72"/>
        <v>6894.9533333333338</v>
      </c>
      <c r="AT53" s="2">
        <f t="shared" si="72"/>
        <v>0.90330209973868492</v>
      </c>
      <c r="AU53" s="2">
        <f t="shared" si="72"/>
        <v>0.94558180117118695</v>
      </c>
      <c r="AV53" s="2">
        <f t="shared" si="72"/>
        <v>0.94782813545447764</v>
      </c>
      <c r="AW53" s="2">
        <f t="shared" si="72"/>
        <v>3.1542803660167262</v>
      </c>
      <c r="AX53" s="2">
        <f t="shared" si="72"/>
        <v>1.8396814206695995</v>
      </c>
      <c r="AY53" s="25">
        <f t="shared" si="72"/>
        <v>155.66899999999998</v>
      </c>
      <c r="AZ53" s="2">
        <f t="shared" si="72"/>
        <v>0.91386733333333348</v>
      </c>
      <c r="BA53" s="18">
        <f t="shared" si="72"/>
        <v>152255.66666666666</v>
      </c>
      <c r="BB53" s="18">
        <f t="shared" si="72"/>
        <v>39950.600000000006</v>
      </c>
      <c r="BC53" s="9">
        <f t="shared" si="72"/>
        <v>1.3180950333333332</v>
      </c>
      <c r="BD53" s="9">
        <f t="shared" si="72"/>
        <v>2.087153666666667</v>
      </c>
      <c r="BE53" s="9">
        <f t="shared" si="72"/>
        <v>3.3313933333333332</v>
      </c>
      <c r="BF53" s="9">
        <f t="shared" si="72"/>
        <v>6.3026866666666663</v>
      </c>
      <c r="BG53" s="9">
        <f t="shared" si="72"/>
        <v>5.8888066666666665</v>
      </c>
      <c r="BH53" s="9">
        <f t="shared" si="72"/>
        <v>2.2623986666666664</v>
      </c>
      <c r="BI53" s="9">
        <f t="shared" si="72"/>
        <v>1.8071407333333334</v>
      </c>
      <c r="BJ53" s="9">
        <f t="shared" si="72"/>
        <v>2.5496813333333335</v>
      </c>
      <c r="BK53" s="9">
        <f t="shared" si="72"/>
        <v>2.2802643333333337</v>
      </c>
      <c r="BL53" s="9">
        <f t="shared" si="72"/>
        <v>1.3969203333333333</v>
      </c>
      <c r="BM53" s="9">
        <f t="shared" si="72"/>
        <v>1.4111293333333332</v>
      </c>
      <c r="BN53" s="9">
        <f t="shared" si="72"/>
        <v>1.669505</v>
      </c>
      <c r="BO53" s="9">
        <f t="shared" si="72"/>
        <v>2.6331649999999995</v>
      </c>
      <c r="BP53" s="9">
        <f t="shared" si="72"/>
        <v>4.366626666666666</v>
      </c>
      <c r="BQ53" s="9">
        <f t="shared" ref="BQ53:CH53" si="73">BQ38</f>
        <v>6.2852433333333337</v>
      </c>
      <c r="BR53" s="9">
        <f t="shared" si="73"/>
        <v>7.9856733333333336</v>
      </c>
      <c r="BS53" s="9">
        <f t="shared" si="73"/>
        <v>10.282246666666667</v>
      </c>
      <c r="BT53" s="9">
        <f t="shared" si="73"/>
        <v>13.295076666666667</v>
      </c>
      <c r="BU53" s="9">
        <f t="shared" si="73"/>
        <v>16.723266666666664</v>
      </c>
      <c r="BV53" s="9">
        <f t="shared" si="73"/>
        <v>20.647400000000001</v>
      </c>
      <c r="BW53" s="9">
        <f t="shared" si="73"/>
        <v>24.006</v>
      </c>
      <c r="BX53" s="9">
        <f t="shared" si="73"/>
        <v>26.768366666666669</v>
      </c>
      <c r="BY53" s="9">
        <f t="shared" si="73"/>
        <v>29.123333333333335</v>
      </c>
      <c r="BZ53" s="9">
        <f t="shared" si="73"/>
        <v>31.071066666666667</v>
      </c>
      <c r="CA53" s="9">
        <f t="shared" si="73"/>
        <v>29.877266666666667</v>
      </c>
      <c r="CB53" s="9">
        <f t="shared" si="73"/>
        <v>25.541666666666668</v>
      </c>
      <c r="CC53" s="9">
        <f t="shared" si="73"/>
        <v>20.779566666666664</v>
      </c>
      <c r="CD53" s="9">
        <f t="shared" si="73"/>
        <v>15.590999999999999</v>
      </c>
      <c r="CE53" s="9">
        <f t="shared" si="73"/>
        <v>12.069733333333332</v>
      </c>
      <c r="CF53" s="9">
        <f t="shared" si="73"/>
        <v>10.221213333333333</v>
      </c>
      <c r="CG53" s="9">
        <f t="shared" si="73"/>
        <v>8.6875766666666667</v>
      </c>
      <c r="CH53" s="9">
        <f t="shared" si="73"/>
        <v>7.45845</v>
      </c>
    </row>
    <row r="54" spans="1:86">
      <c r="A54" s="20"/>
      <c r="B54" s="20"/>
      <c r="C54" s="20"/>
      <c r="D54" s="20"/>
      <c r="E54" s="20" t="s">
        <v>506</v>
      </c>
      <c r="F54" s="22" t="s">
        <v>501</v>
      </c>
      <c r="G54" s="9">
        <f t="shared" ref="G54" si="74">G41</f>
        <v>9.3216900000000003</v>
      </c>
      <c r="H54" s="9">
        <f t="shared" ref="H54:BP54" si="75">H41</f>
        <v>0.8376768</v>
      </c>
      <c r="I54" s="9">
        <f t="shared" si="75"/>
        <v>10.686975999999998</v>
      </c>
      <c r="J54" s="6">
        <f t="shared" si="75"/>
        <v>2224.8040000000001</v>
      </c>
      <c r="K54" s="25">
        <f t="shared" si="75"/>
        <v>125.70840000000001</v>
      </c>
      <c r="L54" s="25">
        <f t="shared" si="75"/>
        <v>92.260640000000009</v>
      </c>
      <c r="M54" s="9">
        <f t="shared" si="75"/>
        <v>17.686719999999998</v>
      </c>
      <c r="N54" s="9">
        <f t="shared" si="75"/>
        <v>1.5464300000000002</v>
      </c>
      <c r="O54" s="9">
        <f t="shared" si="75"/>
        <v>1.4289960000000002</v>
      </c>
      <c r="P54" s="25">
        <f t="shared" si="75"/>
        <v>168.06819999999999</v>
      </c>
      <c r="Q54" s="25">
        <f t="shared" si="75"/>
        <v>61.789600000000007</v>
      </c>
      <c r="R54" s="25">
        <f t="shared" si="75"/>
        <v>98.682820000000007</v>
      </c>
      <c r="S54" s="25">
        <f t="shared" si="75"/>
        <v>13.426160000000001</v>
      </c>
      <c r="T54" s="2">
        <f t="shared" si="75"/>
        <v>14.873257999999998</v>
      </c>
      <c r="U54" s="2">
        <f t="shared" si="75"/>
        <v>0.87766339999999998</v>
      </c>
      <c r="V54" s="2">
        <f t="shared" si="75"/>
        <v>10.17876</v>
      </c>
      <c r="W54" s="109">
        <f t="shared" si="75"/>
        <v>1.5269591999999998</v>
      </c>
      <c r="X54" s="109">
        <f t="shared" si="75"/>
        <v>1.5180529999999999</v>
      </c>
      <c r="Y54" s="109">
        <f t="shared" si="75"/>
        <v>1.8639499999999998</v>
      </c>
      <c r="Z54" s="109">
        <f t="shared" si="75"/>
        <v>2.0921759999999998</v>
      </c>
      <c r="AA54" s="109">
        <f t="shared" si="75"/>
        <v>2.3337680000000001</v>
      </c>
      <c r="AB54" s="109">
        <f t="shared" si="75"/>
        <v>2.7856519999999998</v>
      </c>
      <c r="AC54" s="109">
        <f t="shared" si="75"/>
        <v>3.6376739999999996</v>
      </c>
      <c r="AE54" s="68">
        <f t="shared" si="75"/>
        <v>1.947688570210468</v>
      </c>
      <c r="AF54" s="9">
        <f t="shared" si="75"/>
        <v>1.9661599999999999</v>
      </c>
      <c r="AG54" s="9">
        <f t="shared" si="75"/>
        <v>2.3671300000000004</v>
      </c>
      <c r="AH54" s="9">
        <f t="shared" si="75"/>
        <v>2.6009099999999998</v>
      </c>
      <c r="AI54" s="9">
        <f t="shared" si="75"/>
        <v>2.8718360000000001</v>
      </c>
      <c r="AJ54" s="9">
        <f t="shared" si="75"/>
        <v>3.3507340000000001</v>
      </c>
      <c r="AL54" s="2">
        <f t="shared" si="75"/>
        <v>1.6227409160039106</v>
      </c>
      <c r="AM54" s="6">
        <f t="shared" si="75"/>
        <v>30096.160000000003</v>
      </c>
      <c r="AN54" s="6">
        <f t="shared" si="75"/>
        <v>12551.737999999999</v>
      </c>
      <c r="AO54" s="6">
        <f t="shared" si="75"/>
        <v>8956.3160000000007</v>
      </c>
      <c r="AP54" s="6">
        <f t="shared" si="75"/>
        <v>89668.78</v>
      </c>
      <c r="AQ54" s="6">
        <f t="shared" si="75"/>
        <v>77424.66</v>
      </c>
      <c r="AR54" s="6">
        <f t="shared" si="75"/>
        <v>33720.805999999997</v>
      </c>
      <c r="AT54" s="2">
        <f t="shared" si="75"/>
        <v>0.72330793435827179</v>
      </c>
      <c r="AU54" s="2">
        <f t="shared" si="75"/>
        <v>0.83357224809222963</v>
      </c>
      <c r="AV54" s="2">
        <f t="shared" si="75"/>
        <v>0.73191705459197021</v>
      </c>
      <c r="AW54" s="2">
        <f t="shared" si="75"/>
        <v>1.7797877357110916</v>
      </c>
      <c r="AX54" s="2">
        <f t="shared" si="75"/>
        <v>1.7416867431098981</v>
      </c>
      <c r="AY54" s="25">
        <f t="shared" si="75"/>
        <v>113.01389999999999</v>
      </c>
      <c r="AZ54" s="2">
        <f t="shared" si="75"/>
        <v>1.0907149999999999</v>
      </c>
      <c r="BA54" s="18">
        <f t="shared" si="75"/>
        <v>1418014</v>
      </c>
      <c r="BB54" s="18">
        <f t="shared" si="75"/>
        <v>580257.80000000005</v>
      </c>
      <c r="BC54" s="9">
        <f t="shared" si="75"/>
        <v>3.3312619999999997</v>
      </c>
      <c r="BD54" s="9">
        <f t="shared" si="75"/>
        <v>2.4398600000000004</v>
      </c>
      <c r="BE54" s="9">
        <f t="shared" si="75"/>
        <v>3.5887900000000004</v>
      </c>
      <c r="BF54" s="9">
        <f t="shared" si="75"/>
        <v>9.1980779999999989</v>
      </c>
      <c r="BG54" s="9">
        <f t="shared" si="75"/>
        <v>11.48634</v>
      </c>
      <c r="BH54" s="9">
        <f t="shared" si="75"/>
        <v>12.0695</v>
      </c>
      <c r="BI54" s="9">
        <f t="shared" si="75"/>
        <v>17.487341999999998</v>
      </c>
      <c r="BJ54" s="9">
        <f t="shared" si="75"/>
        <v>25.2881</v>
      </c>
      <c r="BK54" s="9">
        <f t="shared" si="75"/>
        <v>34.837620000000001</v>
      </c>
      <c r="BL54" s="9">
        <f t="shared" si="75"/>
        <v>45.862139999999997</v>
      </c>
      <c r="BM54" s="9">
        <f t="shared" si="75"/>
        <v>55.565860000000001</v>
      </c>
      <c r="BN54" s="9">
        <f t="shared" si="75"/>
        <v>63.827740000000006</v>
      </c>
      <c r="BO54" s="9">
        <f t="shared" si="75"/>
        <v>80.542940000000002</v>
      </c>
      <c r="BP54" s="9">
        <f t="shared" si="75"/>
        <v>105.89697999999999</v>
      </c>
      <c r="BQ54" s="9">
        <f t="shared" ref="BQ54:CH54" si="76">BQ41</f>
        <v>131.27735999999999</v>
      </c>
      <c r="BR54" s="9">
        <f t="shared" si="76"/>
        <v>156.68106</v>
      </c>
      <c r="BS54" s="9">
        <f t="shared" si="76"/>
        <v>181.47814</v>
      </c>
      <c r="BT54" s="9">
        <f t="shared" si="76"/>
        <v>205.80459999999999</v>
      </c>
      <c r="BU54" s="9">
        <f t="shared" si="76"/>
        <v>222.46400000000003</v>
      </c>
      <c r="BV54" s="9">
        <f t="shared" si="76"/>
        <v>233.14179999999996</v>
      </c>
      <c r="BW54" s="9">
        <f t="shared" si="76"/>
        <v>237.72960000000003</v>
      </c>
      <c r="BX54" s="9">
        <f t="shared" si="76"/>
        <v>236.0966</v>
      </c>
      <c r="BY54" s="9">
        <f t="shared" si="76"/>
        <v>233.95940000000002</v>
      </c>
      <c r="BZ54" s="9">
        <f t="shared" si="76"/>
        <v>231.31799999999998</v>
      </c>
      <c r="CA54" s="9">
        <f t="shared" si="76"/>
        <v>208.8502</v>
      </c>
      <c r="CB54" s="9">
        <f t="shared" si="76"/>
        <v>166.55620000000002</v>
      </c>
      <c r="CC54" s="9">
        <f t="shared" si="76"/>
        <v>127.68402</v>
      </c>
      <c r="CD54" s="9">
        <f t="shared" si="76"/>
        <v>92.234160000000003</v>
      </c>
      <c r="CE54" s="9">
        <f t="shared" si="76"/>
        <v>68.742139999999992</v>
      </c>
      <c r="CF54" s="9">
        <f t="shared" si="76"/>
        <v>57.207499999999996</v>
      </c>
      <c r="CG54" s="9">
        <f t="shared" si="76"/>
        <v>47.885020000000004</v>
      </c>
      <c r="CH54" s="9">
        <f t="shared" si="76"/>
        <v>40.774600000000007</v>
      </c>
    </row>
    <row r="55" spans="1:86">
      <c r="A55" s="20"/>
      <c r="B55" s="20"/>
      <c r="C55" s="20"/>
      <c r="D55" s="20"/>
      <c r="E55" s="20" t="s">
        <v>506</v>
      </c>
      <c r="F55" s="22" t="s">
        <v>504</v>
      </c>
      <c r="G55" s="9">
        <f t="shared" ref="G55" si="77">G44</f>
        <v>13.39335</v>
      </c>
      <c r="H55" s="9">
        <f t="shared" ref="H55:BP55" si="78">H44</f>
        <v>0.1938685</v>
      </c>
      <c r="I55" s="9">
        <f t="shared" si="78"/>
        <v>7.1575600000000001</v>
      </c>
      <c r="J55" s="6">
        <f t="shared" si="78"/>
        <v>1517.095</v>
      </c>
      <c r="K55" s="25">
        <f t="shared" si="78"/>
        <v>22.970199999999998</v>
      </c>
      <c r="L55" s="25">
        <f t="shared" si="78"/>
        <v>29.2349</v>
      </c>
      <c r="M55" s="9">
        <f t="shared" si="78"/>
        <v>13.185499999999999</v>
      </c>
      <c r="N55" s="9">
        <f t="shared" si="78"/>
        <v>1.1845699999999999</v>
      </c>
      <c r="O55" s="9">
        <f t="shared" si="78"/>
        <v>1.1492599999999999</v>
      </c>
      <c r="P55" s="25">
        <f t="shared" si="78"/>
        <v>92.808449999999993</v>
      </c>
      <c r="Q55" s="25">
        <f t="shared" si="78"/>
        <v>124.0585</v>
      </c>
      <c r="R55" s="25">
        <f t="shared" si="78"/>
        <v>70.484849999999994</v>
      </c>
      <c r="S55" s="25">
        <f t="shared" si="78"/>
        <v>16.97645</v>
      </c>
      <c r="T55" s="2">
        <f t="shared" si="78"/>
        <v>2.6470750000000001</v>
      </c>
      <c r="U55" s="2">
        <f t="shared" si="78"/>
        <v>0.16320600000000002</v>
      </c>
      <c r="V55" s="2">
        <f t="shared" si="78"/>
        <v>1.1495139999999999</v>
      </c>
      <c r="W55" s="109">
        <f t="shared" si="78"/>
        <v>0.32719999999999999</v>
      </c>
      <c r="X55" s="109">
        <f t="shared" si="78"/>
        <v>0.32516900000000004</v>
      </c>
      <c r="Y55" s="109">
        <f t="shared" si="78"/>
        <v>0.40755750000000002</v>
      </c>
      <c r="Z55" s="109">
        <f t="shared" si="78"/>
        <v>0.4457335</v>
      </c>
      <c r="AA55" s="109">
        <f t="shared" si="78"/>
        <v>0.47926099999999999</v>
      </c>
      <c r="AB55" s="109">
        <f t="shared" si="78"/>
        <v>0.53428750000000003</v>
      </c>
      <c r="AC55" s="109">
        <f t="shared" si="78"/>
        <v>0.591422</v>
      </c>
      <c r="AE55" s="68">
        <f t="shared" si="78"/>
        <v>1.6714362627394164</v>
      </c>
      <c r="AF55" s="9">
        <f t="shared" si="78"/>
        <v>0.40864800000000001</v>
      </c>
      <c r="AG55" s="9">
        <f t="shared" si="78"/>
        <v>0.45336799999999999</v>
      </c>
      <c r="AH55" s="9">
        <f t="shared" si="78"/>
        <v>0.46494999999999997</v>
      </c>
      <c r="AI55" s="9">
        <f t="shared" si="78"/>
        <v>0.48419600000000002</v>
      </c>
      <c r="AJ55" s="9">
        <f t="shared" si="78"/>
        <v>0.49949749999999998</v>
      </c>
      <c r="AL55" s="2">
        <f t="shared" si="78"/>
        <v>1.2438707079400015</v>
      </c>
      <c r="AM55" s="6">
        <f t="shared" si="78"/>
        <v>4799.05</v>
      </c>
      <c r="AN55" s="6">
        <f t="shared" si="78"/>
        <v>2255.8450000000003</v>
      </c>
      <c r="AO55" s="6">
        <f t="shared" si="78"/>
        <v>1716.9250000000002</v>
      </c>
      <c r="AP55" s="6">
        <f t="shared" si="78"/>
        <v>10730.785</v>
      </c>
      <c r="AQ55" s="6">
        <f t="shared" si="78"/>
        <v>8532.7649999999994</v>
      </c>
      <c r="AR55" s="6">
        <f t="shared" si="78"/>
        <v>3087.61</v>
      </c>
      <c r="AT55" s="2">
        <f t="shared" si="78"/>
        <v>0.68479075999681194</v>
      </c>
      <c r="AU55" s="2">
        <f t="shared" si="78"/>
        <v>0.78524406324456641</v>
      </c>
      <c r="AV55" s="2">
        <f t="shared" si="78"/>
        <v>0.63603045274987102</v>
      </c>
      <c r="AW55" s="2">
        <f t="shared" si="78"/>
        <v>1.5095153615215331</v>
      </c>
      <c r="AX55" s="2">
        <f t="shared" si="78"/>
        <v>1.9491063460060376</v>
      </c>
      <c r="AY55" s="25">
        <f t="shared" si="78"/>
        <v>90.162099999999995</v>
      </c>
      <c r="AZ55" s="2">
        <f t="shared" si="78"/>
        <v>1.19506</v>
      </c>
      <c r="BA55" s="18">
        <f t="shared" si="78"/>
        <v>324396.5</v>
      </c>
      <c r="BB55" s="18">
        <f t="shared" si="78"/>
        <v>168102.5</v>
      </c>
      <c r="BC55" s="9">
        <f t="shared" si="78"/>
        <v>2.3935900000000001</v>
      </c>
      <c r="BD55" s="9">
        <f t="shared" si="78"/>
        <v>1.0608515000000001</v>
      </c>
      <c r="BE55" s="9">
        <f t="shared" si="78"/>
        <v>2.6018499999999998</v>
      </c>
      <c r="BF55" s="9">
        <f t="shared" si="78"/>
        <v>11.240105</v>
      </c>
      <c r="BG55" s="9">
        <f t="shared" si="78"/>
        <v>12.861840000000001</v>
      </c>
      <c r="BH55" s="9">
        <f t="shared" si="78"/>
        <v>5.9699499999999999</v>
      </c>
      <c r="BI55" s="9">
        <f t="shared" si="78"/>
        <v>3.9605100000000002</v>
      </c>
      <c r="BJ55" s="9">
        <f t="shared" si="78"/>
        <v>5.2914750000000002</v>
      </c>
      <c r="BK55" s="9">
        <f t="shared" si="78"/>
        <v>7.1254799999999996</v>
      </c>
      <c r="BL55" s="9">
        <f t="shared" si="78"/>
        <v>9.2576649999999994</v>
      </c>
      <c r="BM55" s="9">
        <f t="shared" si="78"/>
        <v>12.109565</v>
      </c>
      <c r="BN55" s="9">
        <f t="shared" si="78"/>
        <v>15.539300000000001</v>
      </c>
      <c r="BO55" s="9">
        <f t="shared" si="78"/>
        <v>20.35005</v>
      </c>
      <c r="BP55" s="9">
        <f t="shared" si="78"/>
        <v>26.701050000000002</v>
      </c>
      <c r="BQ55" s="9">
        <f t="shared" ref="BQ55:CH55" si="79">BQ44</f>
        <v>31.8996</v>
      </c>
      <c r="BR55" s="9">
        <f t="shared" si="79"/>
        <v>35.85615</v>
      </c>
      <c r="BS55" s="9">
        <f t="shared" si="79"/>
        <v>38.364450000000005</v>
      </c>
      <c r="BT55" s="9">
        <f t="shared" si="79"/>
        <v>39.4358</v>
      </c>
      <c r="BU55" s="9">
        <f t="shared" si="79"/>
        <v>39.325150000000001</v>
      </c>
      <c r="BV55" s="9">
        <f t="shared" si="79"/>
        <v>38.1417</v>
      </c>
      <c r="BW55" s="9">
        <f t="shared" si="79"/>
        <v>37.237349999999999</v>
      </c>
      <c r="BX55" s="9">
        <f t="shared" si="79"/>
        <v>36.609549999999999</v>
      </c>
      <c r="BY55" s="9">
        <f t="shared" si="79"/>
        <v>35.990099999999998</v>
      </c>
      <c r="BZ55" s="9">
        <f t="shared" si="79"/>
        <v>35.378750000000004</v>
      </c>
      <c r="CA55" s="9">
        <f t="shared" si="79"/>
        <v>31.704599999999999</v>
      </c>
      <c r="CB55" s="9">
        <f t="shared" si="79"/>
        <v>24.967700000000001</v>
      </c>
      <c r="CC55" s="9">
        <f t="shared" si="79"/>
        <v>18.759550000000001</v>
      </c>
      <c r="CD55" s="9">
        <f t="shared" si="79"/>
        <v>13.0801</v>
      </c>
      <c r="CE55" s="9">
        <f t="shared" si="79"/>
        <v>9.2979149999999997</v>
      </c>
      <c r="CF55" s="9">
        <f t="shared" si="79"/>
        <v>7.4156950000000004</v>
      </c>
      <c r="CG55" s="9">
        <f t="shared" si="79"/>
        <v>5.9914300000000003</v>
      </c>
      <c r="CH55" s="9">
        <f t="shared" si="79"/>
        <v>5.013115</v>
      </c>
    </row>
    <row r="56" spans="1:86">
      <c r="A56" s="20"/>
      <c r="B56" s="20"/>
      <c r="C56" s="20"/>
      <c r="D56" s="20"/>
      <c r="E56" s="20" t="s">
        <v>506</v>
      </c>
      <c r="F56" s="22" t="s">
        <v>505</v>
      </c>
      <c r="G56" s="9">
        <f t="shared" ref="G56" si="80">G47</f>
        <v>12.585833333333333</v>
      </c>
      <c r="H56" s="9">
        <f t="shared" ref="H56:BP56" si="81">H47</f>
        <v>0.13469316666666667</v>
      </c>
      <c r="I56" s="9">
        <f t="shared" si="81"/>
        <v>7.9071866666666679</v>
      </c>
      <c r="J56" s="6">
        <f t="shared" si="81"/>
        <v>1083.3166666666666</v>
      </c>
      <c r="K56" s="25">
        <f t="shared" si="81"/>
        <v>8.0722599999999982</v>
      </c>
      <c r="L56" s="25">
        <f t="shared" si="81"/>
        <v>22.406199999999998</v>
      </c>
      <c r="M56" s="9">
        <f t="shared" si="81"/>
        <v>13.665799999999999</v>
      </c>
      <c r="N56" s="9">
        <f t="shared" si="81"/>
        <v>0.89391366666666661</v>
      </c>
      <c r="O56" s="9">
        <f t="shared" si="81"/>
        <v>0.8577366666666667</v>
      </c>
      <c r="P56" s="25">
        <f t="shared" si="81"/>
        <v>90.717066666666668</v>
      </c>
      <c r="Q56" s="25">
        <f t="shared" si="81"/>
        <v>213.43499999999997</v>
      </c>
      <c r="R56" s="25">
        <f t="shared" si="81"/>
        <v>211.89786666666669</v>
      </c>
      <c r="S56" s="25">
        <f t="shared" si="81"/>
        <v>11.994333333333335</v>
      </c>
      <c r="T56" s="2">
        <f t="shared" si="81"/>
        <v>0.42439333333333334</v>
      </c>
      <c r="U56" s="2">
        <f t="shared" si="81"/>
        <v>2.432021333333333E-2</v>
      </c>
      <c r="V56" s="2">
        <f t="shared" si="81"/>
        <v>0.30506433333333333</v>
      </c>
      <c r="W56" s="109">
        <f t="shared" si="81"/>
        <v>6.876963333333333E-2</v>
      </c>
      <c r="X56" s="109">
        <f t="shared" si="81"/>
        <v>6.9609066666666664E-2</v>
      </c>
      <c r="Y56" s="109">
        <f t="shared" si="81"/>
        <v>9.6569833333333341E-2</v>
      </c>
      <c r="Z56" s="109">
        <f t="shared" si="81"/>
        <v>0.11013859999999999</v>
      </c>
      <c r="AA56" s="109">
        <f t="shared" si="81"/>
        <v>0.1222401</v>
      </c>
      <c r="AB56" s="109">
        <f t="shared" si="81"/>
        <v>0.14002633333333334</v>
      </c>
      <c r="AC56" s="109">
        <f t="shared" si="81"/>
        <v>0.14997199999999999</v>
      </c>
      <c r="AE56" s="68">
        <f t="shared" si="81"/>
        <v>1.9370587177598517</v>
      </c>
      <c r="AF56" s="9">
        <f t="shared" si="81"/>
        <v>9.5214433333333334E-2</v>
      </c>
      <c r="AG56" s="9">
        <f t="shared" si="81"/>
        <v>0.11676836666666666</v>
      </c>
      <c r="AH56" s="9">
        <f t="shared" si="81"/>
        <v>0.12568866666666667</v>
      </c>
      <c r="AI56" s="9">
        <f t="shared" si="81"/>
        <v>0.13059466666666666</v>
      </c>
      <c r="AJ56" s="9">
        <f t="shared" si="81"/>
        <v>0.13410166666666667</v>
      </c>
      <c r="AL56" s="2">
        <f t="shared" si="81"/>
        <v>1.4059074859665677</v>
      </c>
      <c r="AM56" s="6">
        <f t="shared" si="81"/>
        <v>1369.0999999999997</v>
      </c>
      <c r="AN56" s="6">
        <f t="shared" si="81"/>
        <v>657.16833333333341</v>
      </c>
      <c r="AO56" s="6">
        <f t="shared" si="81"/>
        <v>484.66033333333331</v>
      </c>
      <c r="AP56" s="6">
        <f t="shared" si="81"/>
        <v>1911.3</v>
      </c>
      <c r="AQ56" s="6">
        <f t="shared" si="81"/>
        <v>1672.3366666666668</v>
      </c>
      <c r="AR56" s="6">
        <f t="shared" si="81"/>
        <v>627.80600000000004</v>
      </c>
      <c r="AT56" s="2">
        <f t="shared" si="81"/>
        <v>0.57475225421070431</v>
      </c>
      <c r="AU56" s="2">
        <f t="shared" si="81"/>
        <v>0.70956253157331028</v>
      </c>
      <c r="AV56" s="2">
        <f t="shared" si="81"/>
        <v>0.5558759038750315</v>
      </c>
      <c r="AW56" s="2">
        <f t="shared" si="81"/>
        <v>1.5265494771157195</v>
      </c>
      <c r="AX56" s="2">
        <f t="shared" si="81"/>
        <v>1.7512482676937362</v>
      </c>
      <c r="AY56" s="25">
        <f t="shared" si="81"/>
        <v>72.541049999999998</v>
      </c>
      <c r="AZ56" s="2">
        <f t="shared" si="81"/>
        <v>1.022035</v>
      </c>
      <c r="BA56" s="18">
        <f t="shared" si="81"/>
        <v>180946</v>
      </c>
      <c r="BB56" s="18">
        <f t="shared" si="81"/>
        <v>114739.05</v>
      </c>
      <c r="BC56" s="9">
        <f t="shared" si="81"/>
        <v>2.2630749999999997</v>
      </c>
      <c r="BD56" s="9">
        <f t="shared" si="81"/>
        <v>2.4599150000000001</v>
      </c>
      <c r="BE56" s="9">
        <f t="shared" si="81"/>
        <v>3.7320950000000002</v>
      </c>
      <c r="BF56" s="9">
        <f t="shared" si="81"/>
        <v>7.585659999999999</v>
      </c>
      <c r="BG56" s="9">
        <f t="shared" si="81"/>
        <v>7.6864400000000002</v>
      </c>
      <c r="BH56" s="9">
        <f t="shared" si="81"/>
        <v>3.6648949999999996</v>
      </c>
      <c r="BI56" s="9">
        <f t="shared" si="81"/>
        <v>3.1081849999999998</v>
      </c>
      <c r="BJ56" s="9">
        <f t="shared" si="81"/>
        <v>4.2956349999999999</v>
      </c>
      <c r="BK56" s="9">
        <f t="shared" si="81"/>
        <v>6.1456800000000005</v>
      </c>
      <c r="BL56" s="9">
        <f t="shared" si="81"/>
        <v>8.4991149999999998</v>
      </c>
      <c r="BM56" s="9">
        <f t="shared" si="81"/>
        <v>11.255234999999999</v>
      </c>
      <c r="BN56" s="9">
        <f t="shared" si="81"/>
        <v>14.12195</v>
      </c>
      <c r="BO56" s="9">
        <f t="shared" si="81"/>
        <v>17.552849999999999</v>
      </c>
      <c r="BP56" s="9">
        <f t="shared" si="81"/>
        <v>22.06165</v>
      </c>
      <c r="BQ56" s="9">
        <f t="shared" ref="BQ56:CH56" si="82">BQ47</f>
        <v>26.087800000000001</v>
      </c>
      <c r="BR56" s="9">
        <f t="shared" si="82"/>
        <v>29.247250000000001</v>
      </c>
      <c r="BS56" s="9">
        <f t="shared" si="82"/>
        <v>31.212299999999999</v>
      </c>
      <c r="BT56" s="9">
        <f t="shared" si="82"/>
        <v>31.972249999999999</v>
      </c>
      <c r="BU56" s="9">
        <f t="shared" si="82"/>
        <v>30.9953</v>
      </c>
      <c r="BV56" s="9">
        <f t="shared" si="82"/>
        <v>28.2683</v>
      </c>
      <c r="BW56" s="9">
        <f t="shared" si="82"/>
        <v>25.33905</v>
      </c>
      <c r="BX56" s="9">
        <f t="shared" si="82"/>
        <v>22.197200000000002</v>
      </c>
      <c r="BY56" s="9">
        <f t="shared" si="82"/>
        <v>19.452849999999998</v>
      </c>
      <c r="BZ56" s="9">
        <f t="shared" si="82"/>
        <v>17.108000000000001</v>
      </c>
      <c r="CA56" s="9">
        <f t="shared" si="82"/>
        <v>13.9795</v>
      </c>
      <c r="CB56" s="9">
        <f t="shared" si="82"/>
        <v>10.06413</v>
      </c>
      <c r="CC56" s="9">
        <f t="shared" si="82"/>
        <v>6.9030199999999997</v>
      </c>
      <c r="CD56" s="9">
        <f t="shared" si="82"/>
        <v>4.4955800000000004</v>
      </c>
      <c r="CE56" s="9">
        <f t="shared" si="82"/>
        <v>2.94333</v>
      </c>
      <c r="CF56" s="9">
        <f t="shared" si="82"/>
        <v>2.2451400000000001</v>
      </c>
      <c r="CG56" s="9">
        <f t="shared" si="82"/>
        <v>1.73655</v>
      </c>
      <c r="CH56" s="9">
        <f t="shared" si="82"/>
        <v>1.4163000000000001</v>
      </c>
    </row>
    <row r="57" spans="1:86">
      <c r="A57" s="4"/>
      <c r="B57" s="3"/>
      <c r="C57" s="3"/>
      <c r="D57" s="3"/>
      <c r="E57" s="22"/>
      <c r="F57" s="22"/>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row>
    <row r="58" spans="1:86" ht="30">
      <c r="A58" s="4"/>
      <c r="B58" s="3"/>
      <c r="C58" s="3"/>
      <c r="D58" s="3"/>
      <c r="E58" s="22" t="s">
        <v>533</v>
      </c>
      <c r="F58" s="22"/>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row>
    <row r="59" spans="1:86">
      <c r="A59" s="20"/>
      <c r="B59" s="20"/>
      <c r="C59" s="20"/>
      <c r="D59" s="20"/>
      <c r="E59" s="20" t="s">
        <v>500</v>
      </c>
      <c r="F59" s="22" t="str">
        <f t="shared" ref="F59:F64" si="83">F51</f>
        <v>Startup</v>
      </c>
      <c r="G59" s="9">
        <f t="shared" ref="G59" si="84">G33</f>
        <v>0.92546216502711054</v>
      </c>
      <c r="H59" s="9">
        <f t="shared" ref="H59:BP59" si="85">H33</f>
        <v>9.2975252444220918E-2</v>
      </c>
      <c r="I59" s="9">
        <f t="shared" si="85"/>
        <v>1.1307877220843294</v>
      </c>
      <c r="J59" s="6">
        <f t="shared" si="85"/>
        <v>341.50810567247197</v>
      </c>
      <c r="K59" s="25">
        <f t="shared" si="85"/>
        <v>23.36589582632493</v>
      </c>
      <c r="L59" s="25">
        <f t="shared" si="85"/>
        <v>13.742837845462105</v>
      </c>
      <c r="M59" s="9">
        <f t="shared" si="85"/>
        <v>1.4787706583510505</v>
      </c>
      <c r="N59" s="9">
        <f t="shared" si="85"/>
        <v>0.38540244408496649</v>
      </c>
      <c r="O59" s="9">
        <f t="shared" si="85"/>
        <v>0.51799221609659951</v>
      </c>
      <c r="P59" s="25">
        <f t="shared" si="85"/>
        <v>22.273363225311542</v>
      </c>
      <c r="Q59" s="25">
        <f t="shared" si="85"/>
        <v>7.826376366556838</v>
      </c>
      <c r="R59" s="25">
        <f t="shared" si="85"/>
        <v>5.2586772943076348</v>
      </c>
      <c r="S59" s="25">
        <f t="shared" si="85"/>
        <v>0.80714011918625395</v>
      </c>
      <c r="T59" s="2">
        <f t="shared" si="85"/>
        <v>3.6778574523763239</v>
      </c>
      <c r="U59" s="2">
        <f t="shared" si="85"/>
        <v>0.14627876317144209</v>
      </c>
      <c r="V59" s="2">
        <f t="shared" si="85"/>
        <v>2.3866760182312232</v>
      </c>
      <c r="W59" s="109">
        <f t="shared" si="85"/>
        <v>0.15330487148163302</v>
      </c>
      <c r="X59" s="109">
        <f t="shared" si="85"/>
        <v>0.1506369951240398</v>
      </c>
      <c r="Y59" s="109">
        <f t="shared" si="85"/>
        <v>0.22350357753288883</v>
      </c>
      <c r="Z59" s="109">
        <f t="shared" si="85"/>
        <v>0.24434274482783397</v>
      </c>
      <c r="AA59" s="109">
        <f t="shared" si="85"/>
        <v>0.26788108822759404</v>
      </c>
      <c r="AB59" s="109">
        <f t="shared" si="85"/>
        <v>0.31808958277504157</v>
      </c>
      <c r="AC59" s="109">
        <f t="shared" si="85"/>
        <v>0.39501157396967512</v>
      </c>
      <c r="AE59" s="68">
        <f t="shared" si="85"/>
        <v>6.3275762257906515E-2</v>
      </c>
      <c r="AF59" s="9">
        <f t="shared" si="85"/>
        <v>0.32516510222757056</v>
      </c>
      <c r="AG59" s="9">
        <f t="shared" si="85"/>
        <v>0.45182798556161252</v>
      </c>
      <c r="AH59" s="9">
        <f t="shared" si="85"/>
        <v>0.50339343610142351</v>
      </c>
      <c r="AI59" s="9">
        <f t="shared" si="85"/>
        <v>0.56933772865204701</v>
      </c>
      <c r="AJ59" s="9">
        <f t="shared" si="85"/>
        <v>0.66558550318998411</v>
      </c>
      <c r="AK59">
        <f t="shared" si="85"/>
        <v>0</v>
      </c>
      <c r="AL59" s="2">
        <f t="shared" si="85"/>
        <v>6.2899379810765182E-2</v>
      </c>
      <c r="AM59" s="6">
        <f t="shared" si="85"/>
        <v>2153.8265231907599</v>
      </c>
      <c r="AN59" s="6">
        <f t="shared" si="85"/>
        <v>1120.1626364015185</v>
      </c>
      <c r="AO59" s="6">
        <f t="shared" si="85"/>
        <v>922.80994349684909</v>
      </c>
      <c r="AP59" s="6">
        <f t="shared" si="85"/>
        <v>12187.728200940486</v>
      </c>
      <c r="AQ59" s="6">
        <f t="shared" si="85"/>
        <v>12110.997772231711</v>
      </c>
      <c r="AR59" s="6">
        <f t="shared" si="85"/>
        <v>10510.520085831462</v>
      </c>
      <c r="AS59">
        <f t="shared" si="85"/>
        <v>0</v>
      </c>
      <c r="AT59" s="2">
        <f t="shared" si="85"/>
        <v>1.7331586452832084E-2</v>
      </c>
      <c r="AU59" s="2">
        <f t="shared" si="85"/>
        <v>1.56857023133362E-2</v>
      </c>
      <c r="AV59" s="2">
        <f t="shared" si="85"/>
        <v>3.6076034231847548E-2</v>
      </c>
      <c r="AW59" s="2">
        <f t="shared" si="85"/>
        <v>0.50576975733068363</v>
      </c>
      <c r="AX59" s="2">
        <f t="shared" si="85"/>
        <v>0.47105274164889688</v>
      </c>
      <c r="AY59" s="25">
        <f t="shared" si="85"/>
        <v>19.153771826840526</v>
      </c>
      <c r="AZ59" s="2">
        <f t="shared" si="85"/>
        <v>6.845620085986856E-2</v>
      </c>
      <c r="BA59" s="18">
        <f t="shared" si="85"/>
        <v>567978.40961606987</v>
      </c>
      <c r="BB59" s="18">
        <f t="shared" si="85"/>
        <v>309536.5353983274</v>
      </c>
      <c r="BC59" s="9">
        <f t="shared" si="85"/>
        <v>1.0489334976378004</v>
      </c>
      <c r="BD59" s="9">
        <f t="shared" si="85"/>
        <v>0.9200816117587951</v>
      </c>
      <c r="BE59" s="9">
        <f t="shared" si="85"/>
        <v>1.5193560910036874</v>
      </c>
      <c r="BF59" s="9">
        <f t="shared" si="85"/>
        <v>3.0448949261914904</v>
      </c>
      <c r="BG59" s="9">
        <f t="shared" si="85"/>
        <v>2.6950584132271871</v>
      </c>
      <c r="BH59" s="9">
        <f t="shared" si="85"/>
        <v>2.315293153525054</v>
      </c>
      <c r="BI59" s="9">
        <f t="shared" si="85"/>
        <v>4.8810010845020289</v>
      </c>
      <c r="BJ59" s="9">
        <f t="shared" si="85"/>
        <v>6.7059400341537865</v>
      </c>
      <c r="BK59" s="9">
        <f t="shared" si="85"/>
        <v>9.6377549330571171</v>
      </c>
      <c r="BL59" s="9">
        <f t="shared" si="85"/>
        <v>14.009913452504501</v>
      </c>
      <c r="BM59" s="9">
        <f t="shared" si="85"/>
        <v>18.012865102216942</v>
      </c>
      <c r="BN59" s="9">
        <f t="shared" si="85"/>
        <v>22.243072354098615</v>
      </c>
      <c r="BO59" s="9">
        <f t="shared" si="85"/>
        <v>31.850180478797903</v>
      </c>
      <c r="BP59" s="9">
        <f t="shared" si="85"/>
        <v>52.121356538310337</v>
      </c>
      <c r="BQ59" s="9">
        <f t="shared" ref="BQ59:CH59" si="86">BQ33</f>
        <v>73.603439367203904</v>
      </c>
      <c r="BR59" s="9">
        <f t="shared" si="86"/>
        <v>95.071789033235291</v>
      </c>
      <c r="BS59" s="9">
        <f t="shared" si="86"/>
        <v>113.96151843389944</v>
      </c>
      <c r="BT59" s="9">
        <f t="shared" si="86"/>
        <v>130.31709409385505</v>
      </c>
      <c r="BU59" s="9">
        <f t="shared" si="86"/>
        <v>133.74342531691059</v>
      </c>
      <c r="BV59" s="9">
        <f t="shared" si="86"/>
        <v>122.88381674967096</v>
      </c>
      <c r="BW59" s="9">
        <f t="shared" si="86"/>
        <v>107.59765103089697</v>
      </c>
      <c r="BX59" s="9">
        <f t="shared" si="86"/>
        <v>88.084199244624131</v>
      </c>
      <c r="BY59" s="9">
        <f t="shared" si="86"/>
        <v>72.129279375299504</v>
      </c>
      <c r="BZ59" s="9">
        <f t="shared" si="86"/>
        <v>59.95665077620653</v>
      </c>
      <c r="CA59" s="9">
        <f t="shared" si="86"/>
        <v>46.035644370060467</v>
      </c>
      <c r="CB59" s="9">
        <f t="shared" si="86"/>
        <v>30.358842549851186</v>
      </c>
      <c r="CC59" s="9">
        <f t="shared" si="86"/>
        <v>19.690753021829231</v>
      </c>
      <c r="CD59" s="9">
        <f t="shared" si="86"/>
        <v>12.410545123670703</v>
      </c>
      <c r="CE59" s="9">
        <f t="shared" si="86"/>
        <v>8.3619105497288508</v>
      </c>
      <c r="CF59" s="9">
        <f t="shared" si="86"/>
        <v>6.4370407864690957</v>
      </c>
      <c r="CG59" s="9">
        <f t="shared" si="86"/>
        <v>5.1938396862693663</v>
      </c>
      <c r="CH59" s="9">
        <f t="shared" si="86"/>
        <v>4.3447570769453474</v>
      </c>
    </row>
    <row r="60" spans="1:86">
      <c r="A60" s="20"/>
      <c r="B60" s="20"/>
      <c r="C60" s="20"/>
      <c r="D60" s="20"/>
      <c r="E60" s="20" t="s">
        <v>500</v>
      </c>
      <c r="F60" s="22" t="str">
        <f t="shared" si="83"/>
        <v>High</v>
      </c>
      <c r="G60" s="9">
        <f t="shared" ref="G60" si="87">G36</f>
        <v>0.44148150837077393</v>
      </c>
      <c r="H60" s="9">
        <f t="shared" ref="H60:BP60" si="88">H36</f>
        <v>0.11740114356688922</v>
      </c>
      <c r="I60" s="9">
        <f t="shared" si="88"/>
        <v>0.27946853728699694</v>
      </c>
      <c r="J60" s="6">
        <f t="shared" si="88"/>
        <v>74.625729030498178</v>
      </c>
      <c r="K60" s="25">
        <f t="shared" si="88"/>
        <v>9.8550197778847721</v>
      </c>
      <c r="L60" s="25">
        <f t="shared" si="88"/>
        <v>9.9938413587235715</v>
      </c>
      <c r="M60" s="9">
        <f t="shared" si="88"/>
        <v>1.75695212323311</v>
      </c>
      <c r="N60" s="9">
        <f t="shared" si="88"/>
        <v>0.10217531080125516</v>
      </c>
      <c r="O60" s="9">
        <f t="shared" si="88"/>
        <v>0.10285690822205454</v>
      </c>
      <c r="P60" s="25">
        <f t="shared" si="88"/>
        <v>12.245117540609129</v>
      </c>
      <c r="Q60" s="25">
        <f t="shared" si="88"/>
        <v>6.6735611932460719</v>
      </c>
      <c r="R60" s="25">
        <f t="shared" si="88"/>
        <v>60.449991218011213</v>
      </c>
      <c r="S60" s="25">
        <f t="shared" si="88"/>
        <v>1.3140922506937383</v>
      </c>
      <c r="T60" s="2">
        <f t="shared" si="88"/>
        <v>2.6312400586605538</v>
      </c>
      <c r="U60" s="2">
        <f t="shared" si="88"/>
        <v>2.0257294661676813E-2</v>
      </c>
      <c r="V60" s="2">
        <f t="shared" si="88"/>
        <v>1.4303992273953914</v>
      </c>
      <c r="W60" s="109">
        <f t="shared" si="88"/>
        <v>4.3266271417044186E-2</v>
      </c>
      <c r="X60" s="109">
        <f t="shared" si="88"/>
        <v>4.3226621184173128E-2</v>
      </c>
      <c r="Y60" s="109">
        <f t="shared" si="88"/>
        <v>5.4860297310532428E-2</v>
      </c>
      <c r="Z60" s="109">
        <f t="shared" si="88"/>
        <v>5.9459138145452492E-2</v>
      </c>
      <c r="AA60" s="109">
        <f t="shared" si="88"/>
        <v>5.9321885329109869E-2</v>
      </c>
      <c r="AB60" s="109">
        <f t="shared" si="88"/>
        <v>7.311701189873665E-2</v>
      </c>
      <c r="AC60" s="109">
        <f t="shared" si="88"/>
        <v>0.21151710275058108</v>
      </c>
      <c r="AE60" s="68">
        <f t="shared" si="88"/>
        <v>0.2850486095116706</v>
      </c>
      <c r="AF60" s="9">
        <f t="shared" si="88"/>
        <v>3.8571118798050787E-2</v>
      </c>
      <c r="AG60" s="9">
        <f t="shared" si="88"/>
        <v>4.9609074717568924E-2</v>
      </c>
      <c r="AH60" s="9">
        <f t="shared" si="88"/>
        <v>5.4753359078081466E-2</v>
      </c>
      <c r="AI60" s="9">
        <f t="shared" si="88"/>
        <v>6.5653929405126904E-2</v>
      </c>
      <c r="AJ60" s="9">
        <f t="shared" si="88"/>
        <v>0.13737355623627143</v>
      </c>
      <c r="AK60">
        <f t="shared" si="88"/>
        <v>0</v>
      </c>
      <c r="AL60" s="2">
        <f t="shared" si="88"/>
        <v>0.23941698019113655</v>
      </c>
      <c r="AM60" s="6">
        <f t="shared" si="88"/>
        <v>699.02455067758319</v>
      </c>
      <c r="AN60" s="6">
        <f t="shared" si="88"/>
        <v>197.28116416255628</v>
      </c>
      <c r="AO60" s="6">
        <f t="shared" si="88"/>
        <v>100.05155546516995</v>
      </c>
      <c r="AP60" s="6">
        <f t="shared" si="88"/>
        <v>6603.9530722136469</v>
      </c>
      <c r="AQ60" s="6">
        <f t="shared" si="88"/>
        <v>12043.175500810959</v>
      </c>
      <c r="AR60" s="6">
        <f t="shared" si="88"/>
        <v>5388.7424611530023</v>
      </c>
      <c r="AS60">
        <f t="shared" si="88"/>
        <v>0</v>
      </c>
      <c r="AT60" s="2">
        <f t="shared" si="88"/>
        <v>9.7858291048448544E-3</v>
      </c>
      <c r="AU60" s="2">
        <f t="shared" si="88"/>
        <v>3.1835194597812637E-2</v>
      </c>
      <c r="AV60" s="2">
        <f t="shared" si="88"/>
        <v>4.1971242630036723E-2</v>
      </c>
      <c r="AW60" s="2">
        <f t="shared" si="88"/>
        <v>0.41339728090363792</v>
      </c>
      <c r="AX60" s="2">
        <f t="shared" si="88"/>
        <v>0.19357925877872745</v>
      </c>
      <c r="AY60" s="25">
        <f t="shared" si="88"/>
        <v>5.8857363458902325</v>
      </c>
      <c r="AZ60" s="2">
        <f t="shared" si="88"/>
        <v>0.14614565083618797</v>
      </c>
      <c r="BA60" s="18">
        <f t="shared" si="88"/>
        <v>26484.534436786562</v>
      </c>
      <c r="BB60" s="18">
        <f t="shared" si="88"/>
        <v>19369.397084318389</v>
      </c>
      <c r="BC60" s="9">
        <f t="shared" si="88"/>
        <v>0.8043149073018605</v>
      </c>
      <c r="BD60" s="9">
        <f t="shared" si="88"/>
        <v>0.74659959712909885</v>
      </c>
      <c r="BE60" s="9">
        <f t="shared" si="88"/>
        <v>1.5161826859254124</v>
      </c>
      <c r="BF60" s="9">
        <f t="shared" si="88"/>
        <v>3.3764990857740989</v>
      </c>
      <c r="BG60" s="9">
        <f t="shared" si="88"/>
        <v>3.1184831013865257</v>
      </c>
      <c r="BH60" s="9">
        <f t="shared" si="88"/>
        <v>0.73754024638207494</v>
      </c>
      <c r="BI60" s="9">
        <f t="shared" si="88"/>
        <v>0.13163668447663057</v>
      </c>
      <c r="BJ60" s="9">
        <f t="shared" si="88"/>
        <v>0.27475073363565983</v>
      </c>
      <c r="BK60" s="9">
        <f t="shared" si="88"/>
        <v>0.69956983928220584</v>
      </c>
      <c r="BL60" s="9">
        <f t="shared" si="88"/>
        <v>1.0138468855963101</v>
      </c>
      <c r="BM60" s="9">
        <f t="shared" si="88"/>
        <v>1.8873219570951152</v>
      </c>
      <c r="BN60" s="9">
        <f t="shared" si="88"/>
        <v>2.9697239433040465</v>
      </c>
      <c r="BO60" s="9">
        <f t="shared" si="88"/>
        <v>4.2836542390385963</v>
      </c>
      <c r="BP60" s="9">
        <f t="shared" si="88"/>
        <v>5.47143073980045</v>
      </c>
      <c r="BQ60" s="9">
        <f t="shared" ref="BQ60:CH60" si="89">BQ36</f>
        <v>5.4659652892543447</v>
      </c>
      <c r="BR60" s="9">
        <f t="shared" si="89"/>
        <v>4.9815267964082182</v>
      </c>
      <c r="BS60" s="9">
        <f t="shared" si="89"/>
        <v>5.1841641026624261</v>
      </c>
      <c r="BT60" s="9">
        <f t="shared" si="89"/>
        <v>8.8037388229849842</v>
      </c>
      <c r="BU60" s="9">
        <f t="shared" si="89"/>
        <v>13.339342096220458</v>
      </c>
      <c r="BV60" s="9">
        <f t="shared" si="89"/>
        <v>17.624354500047183</v>
      </c>
      <c r="BW60" s="9">
        <f t="shared" si="89"/>
        <v>20.011026463427616</v>
      </c>
      <c r="BX60" s="9">
        <f t="shared" si="89"/>
        <v>20.367475491659093</v>
      </c>
      <c r="BY60" s="9">
        <f t="shared" si="89"/>
        <v>18.994016790908997</v>
      </c>
      <c r="BZ60" s="9">
        <f t="shared" si="89"/>
        <v>15.840720030352038</v>
      </c>
      <c r="CA60" s="9">
        <f t="shared" si="89"/>
        <v>11.194042426814974</v>
      </c>
      <c r="CB60" s="9">
        <f t="shared" si="89"/>
        <v>5.5080453704860997</v>
      </c>
      <c r="CC60" s="9">
        <f t="shared" si="89"/>
        <v>3.424553701335888</v>
      </c>
      <c r="CD60" s="9">
        <f t="shared" si="89"/>
        <v>3.6500407299097346</v>
      </c>
      <c r="CE60" s="9">
        <f t="shared" si="89"/>
        <v>4.0935220878032883</v>
      </c>
      <c r="CF60" s="9">
        <f t="shared" si="89"/>
        <v>4.0815031655016503</v>
      </c>
      <c r="CG60" s="9">
        <f t="shared" si="89"/>
        <v>3.8825667055870849</v>
      </c>
      <c r="CH60" s="9">
        <f t="shared" si="89"/>
        <v>3.490855724603934</v>
      </c>
    </row>
    <row r="61" spans="1:86">
      <c r="A61" s="20"/>
      <c r="B61" s="20"/>
      <c r="C61" s="20"/>
      <c r="D61" s="20"/>
      <c r="E61" s="20" t="s">
        <v>500</v>
      </c>
      <c r="F61" s="22" t="str">
        <f t="shared" si="83"/>
        <v>Low</v>
      </c>
      <c r="G61" s="9">
        <f t="shared" ref="G61" si="90">G39</f>
        <v>2.7474238497181358</v>
      </c>
      <c r="H61" s="9">
        <f t="shared" ref="H61:BP61" si="91">H39</f>
        <v>9.7333867605268978E-2</v>
      </c>
      <c r="I61" s="9">
        <f t="shared" si="91"/>
        <v>2.8851387488530471</v>
      </c>
      <c r="J61" s="6">
        <f t="shared" si="91"/>
        <v>106.17523395940005</v>
      </c>
      <c r="K61" s="25">
        <f t="shared" si="91"/>
        <v>4.4797368910833848</v>
      </c>
      <c r="L61" s="25">
        <f t="shared" si="91"/>
        <v>3.7741630979596006</v>
      </c>
      <c r="M61" s="9">
        <f t="shared" si="91"/>
        <v>3.1871423948421236</v>
      </c>
      <c r="N61" s="9">
        <f t="shared" si="91"/>
        <v>0.14194316572605165</v>
      </c>
      <c r="O61" s="9">
        <f t="shared" si="91"/>
        <v>0.1414925647740311</v>
      </c>
      <c r="P61" s="25">
        <f t="shared" si="91"/>
        <v>9.9329045129476601</v>
      </c>
      <c r="Q61" s="25">
        <f t="shared" si="91"/>
        <v>26.868385902394383</v>
      </c>
      <c r="R61" s="25">
        <f t="shared" si="91"/>
        <v>238.86936065997108</v>
      </c>
      <c r="S61" s="25">
        <f t="shared" si="91"/>
        <v>0.41528085677045112</v>
      </c>
      <c r="T61" s="2">
        <f t="shared" si="91"/>
        <v>1.956765643232049</v>
      </c>
      <c r="U61" s="2">
        <f t="shared" si="91"/>
        <v>1.0074159278570076E-2</v>
      </c>
      <c r="V61" s="2">
        <f t="shared" si="91"/>
        <v>1.0094731027620307</v>
      </c>
      <c r="W61" s="109">
        <f t="shared" si="91"/>
        <v>2.1781434444957861E-2</v>
      </c>
      <c r="X61" s="109">
        <f t="shared" si="91"/>
        <v>2.2579970132951835E-2</v>
      </c>
      <c r="Y61" s="109">
        <f t="shared" si="91"/>
        <v>3.4289729140079217E-2</v>
      </c>
      <c r="Z61" s="109">
        <f t="shared" si="91"/>
        <v>4.004769965928151E-2</v>
      </c>
      <c r="AA61" s="109">
        <f t="shared" si="91"/>
        <v>4.1833144281777111E-2</v>
      </c>
      <c r="AB61" s="109">
        <f t="shared" si="91"/>
        <v>3.9252911637227661E-2</v>
      </c>
      <c r="AC61" s="109">
        <f t="shared" si="91"/>
        <v>2.3734039110526513E-2</v>
      </c>
      <c r="AE61" s="68">
        <f t="shared" si="91"/>
        <v>0.30553521406554479</v>
      </c>
      <c r="AF61" s="9">
        <f t="shared" si="91"/>
        <v>1.7181019732639E-2</v>
      </c>
      <c r="AG61" s="9">
        <f t="shared" si="91"/>
        <v>2.2799266062748662E-2</v>
      </c>
      <c r="AH61" s="9">
        <f t="shared" si="91"/>
        <v>2.0586636126380627E-2</v>
      </c>
      <c r="AI61" s="9">
        <f t="shared" si="91"/>
        <v>1.9603920330722967E-2</v>
      </c>
      <c r="AJ61" s="9">
        <f t="shared" si="91"/>
        <v>4.7957816509233309E-2</v>
      </c>
      <c r="AK61">
        <f t="shared" si="91"/>
        <v>0</v>
      </c>
      <c r="AL61" s="2">
        <f t="shared" si="91"/>
        <v>0.37272745812661168</v>
      </c>
      <c r="AM61" s="6">
        <f t="shared" si="91"/>
        <v>21.326531207238947</v>
      </c>
      <c r="AN61" s="6">
        <f t="shared" si="91"/>
        <v>163.16004735330654</v>
      </c>
      <c r="AO61" s="6">
        <f t="shared" si="91"/>
        <v>94.981341727379913</v>
      </c>
      <c r="AP61" s="6">
        <f t="shared" si="91"/>
        <v>8399.9575959247159</v>
      </c>
      <c r="AQ61" s="6">
        <f t="shared" si="91"/>
        <v>6821.3044908726988</v>
      </c>
      <c r="AR61" s="6">
        <f t="shared" si="91"/>
        <v>4281.6102709416855</v>
      </c>
      <c r="AS61">
        <f t="shared" si="91"/>
        <v>0</v>
      </c>
      <c r="AT61" s="2">
        <f t="shared" si="91"/>
        <v>3.8360865751498122E-2</v>
      </c>
      <c r="AU61" s="2">
        <f t="shared" si="91"/>
        <v>3.4404269390670421E-2</v>
      </c>
      <c r="AV61" s="2">
        <f t="shared" si="91"/>
        <v>4.2938499423336787E-2</v>
      </c>
      <c r="AW61" s="2">
        <f t="shared" si="91"/>
        <v>0.58978905648090252</v>
      </c>
      <c r="AX61" s="2">
        <f t="shared" si="91"/>
        <v>0.36368777387218204</v>
      </c>
      <c r="AY61" s="25">
        <f t="shared" si="91"/>
        <v>18.118851205305489</v>
      </c>
      <c r="AZ61" s="2">
        <f t="shared" si="91"/>
        <v>1.9717553355660885E-2</v>
      </c>
      <c r="BA61" s="18">
        <f t="shared" si="91"/>
        <v>23217.041593048325</v>
      </c>
      <c r="BB61" s="18">
        <f t="shared" si="91"/>
        <v>14140.759611491876</v>
      </c>
      <c r="BC61" s="9">
        <f t="shared" si="91"/>
        <v>1.2749120110258603</v>
      </c>
      <c r="BD61" s="9">
        <f t="shared" si="91"/>
        <v>1.1945676531156915</v>
      </c>
      <c r="BE61" s="9">
        <f t="shared" si="91"/>
        <v>0.868990633225316</v>
      </c>
      <c r="BF61" s="9">
        <f t="shared" si="91"/>
        <v>0.4382647042979087</v>
      </c>
      <c r="BG61" s="9">
        <f t="shared" si="91"/>
        <v>0.76829245124062884</v>
      </c>
      <c r="BH61" s="9">
        <f t="shared" si="91"/>
        <v>1.4261983144658861</v>
      </c>
      <c r="BI61" s="9">
        <f t="shared" si="91"/>
        <v>1.4843888438713126</v>
      </c>
      <c r="BJ61" s="9">
        <f t="shared" si="91"/>
        <v>2.2412444881773466</v>
      </c>
      <c r="BK61" s="9">
        <f t="shared" si="91"/>
        <v>1.8182170494460588</v>
      </c>
      <c r="BL61" s="9">
        <f t="shared" si="91"/>
        <v>1.7510552570499689</v>
      </c>
      <c r="BM61" s="9">
        <f t="shared" si="91"/>
        <v>1.844737227008046</v>
      </c>
      <c r="BN61" s="9">
        <f t="shared" si="91"/>
        <v>1.4483715888110342</v>
      </c>
      <c r="BO61" s="9">
        <f t="shared" si="91"/>
        <v>1.5429804461901007</v>
      </c>
      <c r="BP61" s="9">
        <f t="shared" si="91"/>
        <v>2.0401730044859758</v>
      </c>
      <c r="BQ61" s="9">
        <f t="shared" ref="BQ61:CH61" si="92">BQ39</f>
        <v>2.5746235501978405</v>
      </c>
      <c r="BR61" s="9">
        <f t="shared" si="92"/>
        <v>3.096001324940501</v>
      </c>
      <c r="BS61" s="9">
        <f t="shared" si="92"/>
        <v>3.6104818363389302</v>
      </c>
      <c r="BT61" s="9">
        <f t="shared" si="92"/>
        <v>4.0414594944937079</v>
      </c>
      <c r="BU61" s="9">
        <f t="shared" si="92"/>
        <v>4.2588838236483317</v>
      </c>
      <c r="BV61" s="9">
        <f t="shared" si="92"/>
        <v>4.3081253788625808</v>
      </c>
      <c r="BW61" s="9">
        <f t="shared" si="92"/>
        <v>4.3575126930394514</v>
      </c>
      <c r="BX61" s="9">
        <f t="shared" si="92"/>
        <v>4.3972957670974653</v>
      </c>
      <c r="BY61" s="9">
        <f t="shared" si="92"/>
        <v>4.4368175580401434</v>
      </c>
      <c r="BZ61" s="9">
        <f t="shared" si="92"/>
        <v>4.5878946504179119</v>
      </c>
      <c r="CA61" s="9">
        <f t="shared" si="92"/>
        <v>4.4025392733436579</v>
      </c>
      <c r="CB61" s="9">
        <f t="shared" si="92"/>
        <v>3.983005068203338</v>
      </c>
      <c r="CC61" s="9">
        <f t="shared" si="92"/>
        <v>3.5933445428087567</v>
      </c>
      <c r="CD61" s="9">
        <f t="shared" si="92"/>
        <v>2.9906995686628375</v>
      </c>
      <c r="CE61" s="9">
        <f t="shared" si="92"/>
        <v>2.6271388169134475</v>
      </c>
      <c r="CF61" s="9">
        <f t="shared" si="92"/>
        <v>2.4311842839516182</v>
      </c>
      <c r="CG61" s="9">
        <f t="shared" si="92"/>
        <v>2.2271938498777635</v>
      </c>
      <c r="CH61" s="9">
        <f t="shared" si="92"/>
        <v>1.9938662357590604</v>
      </c>
    </row>
    <row r="62" spans="1:86">
      <c r="A62" s="20"/>
      <c r="B62" s="20"/>
      <c r="C62" s="20"/>
      <c r="D62" s="20"/>
      <c r="E62" s="20" t="s">
        <v>506</v>
      </c>
      <c r="F62" s="22" t="str">
        <f t="shared" si="83"/>
        <v>Startup</v>
      </c>
      <c r="G62" s="9">
        <f t="shared" ref="G62" si="93">G42</f>
        <v>1.4675799655896138</v>
      </c>
      <c r="H62" s="9">
        <f t="shared" ref="H62:BP62" si="94">H42</f>
        <v>0.36770378800292491</v>
      </c>
      <c r="I62" s="9">
        <f t="shared" si="94"/>
        <v>1.4406442673609776</v>
      </c>
      <c r="J62" s="6">
        <f t="shared" si="94"/>
        <v>468.60745926628124</v>
      </c>
      <c r="K62" s="25">
        <f t="shared" si="94"/>
        <v>52.434857756982588</v>
      </c>
      <c r="L62" s="25">
        <f t="shared" si="94"/>
        <v>48.359586106096891</v>
      </c>
      <c r="M62" s="9">
        <f t="shared" si="94"/>
        <v>9.3495647720629282</v>
      </c>
      <c r="N62" s="9">
        <f t="shared" si="94"/>
        <v>0.49185124402607666</v>
      </c>
      <c r="O62" s="9">
        <f t="shared" si="94"/>
        <v>0.43850112774085265</v>
      </c>
      <c r="P62" s="25">
        <f t="shared" si="94"/>
        <v>37.956817848708056</v>
      </c>
      <c r="Q62" s="25">
        <f t="shared" si="94"/>
        <v>8.9284398709963781</v>
      </c>
      <c r="R62" s="25">
        <f t="shared" si="94"/>
        <v>54.295981210831798</v>
      </c>
      <c r="S62" s="25">
        <f t="shared" si="94"/>
        <v>2.1323539652224572</v>
      </c>
      <c r="T62" s="2">
        <f t="shared" si="94"/>
        <v>9.6259696398243442</v>
      </c>
      <c r="U62" s="2">
        <f t="shared" si="94"/>
        <v>0.33109612734340521</v>
      </c>
      <c r="V62" s="2">
        <f t="shared" si="94"/>
        <v>5.5361208724340543</v>
      </c>
      <c r="W62" s="109">
        <f t="shared" si="94"/>
        <v>0.55171975778759341</v>
      </c>
      <c r="X62" s="109">
        <f t="shared" si="94"/>
        <v>0.5466539192624521</v>
      </c>
      <c r="Y62" s="109">
        <f t="shared" si="94"/>
        <v>0.65153626902115003</v>
      </c>
      <c r="Z62" s="109">
        <f t="shared" si="94"/>
        <v>0.71163016618887143</v>
      </c>
      <c r="AA62" s="109">
        <f t="shared" si="94"/>
        <v>0.77152294043664105</v>
      </c>
      <c r="AB62" s="109">
        <f t="shared" si="94"/>
        <v>0.8920263568807828</v>
      </c>
      <c r="AC62" s="109">
        <f t="shared" si="94"/>
        <v>1.165595101709852</v>
      </c>
      <c r="AE62" s="68">
        <f t="shared" si="94"/>
        <v>0.21421612733197085</v>
      </c>
      <c r="AF62" s="9">
        <f t="shared" si="94"/>
        <v>0.6421632370744994</v>
      </c>
      <c r="AG62" s="9">
        <f t="shared" si="94"/>
        <v>0.77285288367191785</v>
      </c>
      <c r="AH62" s="9">
        <f t="shared" si="94"/>
        <v>0.84233571392289863</v>
      </c>
      <c r="AI62" s="9">
        <f t="shared" si="94"/>
        <v>0.92741995839533176</v>
      </c>
      <c r="AJ62" s="9">
        <f t="shared" si="94"/>
        <v>1.0772829236231325</v>
      </c>
      <c r="AK62">
        <f t="shared" si="94"/>
        <v>0</v>
      </c>
      <c r="AL62" s="2">
        <f t="shared" si="94"/>
        <v>0.10340673002660636</v>
      </c>
      <c r="AM62" s="6">
        <f t="shared" si="94"/>
        <v>10988.889287958076</v>
      </c>
      <c r="AN62" s="6">
        <f t="shared" si="94"/>
        <v>4403.3923689264911</v>
      </c>
      <c r="AO62" s="6">
        <f t="shared" si="94"/>
        <v>3176.0273282561629</v>
      </c>
      <c r="AP62" s="6">
        <f t="shared" si="94"/>
        <v>46246.369572886462</v>
      </c>
      <c r="AQ62" s="6">
        <f t="shared" si="94"/>
        <v>42453.492982650998</v>
      </c>
      <c r="AR62" s="6">
        <f t="shared" si="94"/>
        <v>23582.693098821012</v>
      </c>
      <c r="AS62">
        <f t="shared" si="94"/>
        <v>0</v>
      </c>
      <c r="AT62" s="2">
        <f t="shared" si="94"/>
        <v>0.11723018253433858</v>
      </c>
      <c r="AU62" s="2">
        <f t="shared" si="94"/>
        <v>0.1001854955674501</v>
      </c>
      <c r="AV62" s="2">
        <f t="shared" si="94"/>
        <v>0.16940871766005122</v>
      </c>
      <c r="AW62" s="2">
        <f t="shared" si="94"/>
        <v>0.19565517583672967</v>
      </c>
      <c r="AX62" s="2">
        <f t="shared" si="94"/>
        <v>0.57790702269897554</v>
      </c>
      <c r="AY62" s="25">
        <f t="shared" si="94"/>
        <v>19.366392515127906</v>
      </c>
      <c r="AZ62" s="2">
        <f t="shared" si="94"/>
        <v>0.104854125932173</v>
      </c>
      <c r="BA62" s="18">
        <f t="shared" si="94"/>
        <v>355132.31679192476</v>
      </c>
      <c r="BB62" s="18">
        <f t="shared" si="94"/>
        <v>244985.03328917874</v>
      </c>
      <c r="BC62" s="9">
        <f t="shared" si="94"/>
        <v>0.8833170008383181</v>
      </c>
      <c r="BD62" s="9">
        <f t="shared" si="94"/>
        <v>0.90856191726265967</v>
      </c>
      <c r="BE62" s="9">
        <f t="shared" si="94"/>
        <v>1.0905441212073881</v>
      </c>
      <c r="BF62" s="9">
        <f t="shared" si="94"/>
        <v>1.9699885805303532</v>
      </c>
      <c r="BG62" s="9">
        <f t="shared" si="94"/>
        <v>3.9976812501686561</v>
      </c>
      <c r="BH62" s="9">
        <f t="shared" si="94"/>
        <v>7.6045320975619548</v>
      </c>
      <c r="BI62" s="9">
        <f t="shared" si="94"/>
        <v>10.911297920592219</v>
      </c>
      <c r="BJ62" s="9">
        <f t="shared" si="94"/>
        <v>14.570650875647251</v>
      </c>
      <c r="BK62" s="9">
        <f t="shared" si="94"/>
        <v>18.217659723109325</v>
      </c>
      <c r="BL62" s="9">
        <f t="shared" si="94"/>
        <v>22.364958077716125</v>
      </c>
      <c r="BM62" s="9">
        <f t="shared" si="94"/>
        <v>26.37345906840817</v>
      </c>
      <c r="BN62" s="9">
        <f t="shared" si="94"/>
        <v>30.235535856885349</v>
      </c>
      <c r="BO62" s="9">
        <f t="shared" si="94"/>
        <v>35.414723325235805</v>
      </c>
      <c r="BP62" s="9">
        <f t="shared" si="94"/>
        <v>43.953486254243884</v>
      </c>
      <c r="BQ62" s="9">
        <f t="shared" ref="BQ62:CH62" si="95">BQ42</f>
        <v>54.139520245824095</v>
      </c>
      <c r="BR62" s="9">
        <f t="shared" si="95"/>
        <v>65.23411555135857</v>
      </c>
      <c r="BS62" s="9">
        <f t="shared" si="95"/>
        <v>76.066032938809144</v>
      </c>
      <c r="BT62" s="9">
        <f t="shared" si="95"/>
        <v>86.618703469862695</v>
      </c>
      <c r="BU62" s="9">
        <f t="shared" si="95"/>
        <v>90.523480680428918</v>
      </c>
      <c r="BV62" s="9">
        <f t="shared" si="95"/>
        <v>86.211061678302144</v>
      </c>
      <c r="BW62" s="9">
        <f t="shared" si="95"/>
        <v>77.591250900471863</v>
      </c>
      <c r="BX62" s="9">
        <f t="shared" si="95"/>
        <v>65.162190527176236</v>
      </c>
      <c r="BY62" s="9">
        <f t="shared" si="95"/>
        <v>55.080639110307999</v>
      </c>
      <c r="BZ62" s="9">
        <f t="shared" si="95"/>
        <v>48.962718179243325</v>
      </c>
      <c r="CA62" s="9">
        <f t="shared" si="95"/>
        <v>43.296395752995508</v>
      </c>
      <c r="CB62" s="9">
        <f t="shared" si="95"/>
        <v>36.77397677298439</v>
      </c>
      <c r="CC62" s="9">
        <f t="shared" si="95"/>
        <v>32.272100252416188</v>
      </c>
      <c r="CD62" s="9">
        <f t="shared" si="95"/>
        <v>27.464819273445048</v>
      </c>
      <c r="CE62" s="9">
        <f t="shared" si="95"/>
        <v>24.527201627030379</v>
      </c>
      <c r="CF62" s="9">
        <f t="shared" si="95"/>
        <v>23.094804643252587</v>
      </c>
      <c r="CG62" s="9">
        <f t="shared" si="95"/>
        <v>21.34059224920901</v>
      </c>
      <c r="CH62" s="9">
        <f t="shared" si="95"/>
        <v>19.209539794982081</v>
      </c>
    </row>
    <row r="63" spans="1:86">
      <c r="A63" s="20"/>
      <c r="B63" s="20"/>
      <c r="C63" s="20"/>
      <c r="D63" s="20"/>
      <c r="E63" s="20" t="s">
        <v>506</v>
      </c>
      <c r="F63" s="22" t="str">
        <f t="shared" si="83"/>
        <v>High</v>
      </c>
      <c r="G63" s="9">
        <f t="shared" ref="G63" si="96">G45</f>
        <v>2.7033938484397103E-2</v>
      </c>
      <c r="H63" s="9">
        <f t="shared" ref="H63:BP63" si="97">H45</f>
        <v>-8.1110391837766305E-2</v>
      </c>
      <c r="I63" s="9">
        <f t="shared" si="97"/>
        <v>-5.9727756386254535E-2</v>
      </c>
      <c r="J63" s="6">
        <f t="shared" si="97"/>
        <v>7.5489669401059174E-3</v>
      </c>
      <c r="K63" s="25">
        <f t="shared" si="97"/>
        <v>-4.9718766053408345E-2</v>
      </c>
      <c r="L63" s="25">
        <f t="shared" si="97"/>
        <v>-5.1094753188825698E-2</v>
      </c>
      <c r="M63" s="9">
        <f t="shared" si="97"/>
        <v>-7.6902658223047997E-3</v>
      </c>
      <c r="N63" s="9">
        <f t="shared" si="97"/>
        <v>-6.6733076137332498E-3</v>
      </c>
      <c r="O63" s="9">
        <f t="shared" si="97"/>
        <v>-6.6999634547447789E-3</v>
      </c>
      <c r="P63" s="25">
        <f t="shared" si="97"/>
        <v>9.4051511473362645E-2</v>
      </c>
      <c r="Q63" s="25">
        <f t="shared" si="97"/>
        <v>1.081949241688397E-2</v>
      </c>
      <c r="R63" s="25">
        <f t="shared" si="97"/>
        <v>-7.6015271366825635E-2</v>
      </c>
      <c r="S63" s="25">
        <f t="shared" si="97"/>
        <v>-9.0126322052019134E-2</v>
      </c>
      <c r="T63" s="2">
        <f t="shared" si="97"/>
        <v>-7.1881227392499173E-3</v>
      </c>
      <c r="U63" s="2">
        <f t="shared" si="97"/>
        <v>-0.11101001188681789</v>
      </c>
      <c r="V63" s="2">
        <f t="shared" si="97"/>
        <v>-0.10944451307248107</v>
      </c>
      <c r="W63" s="109">
        <f t="shared" si="97"/>
        <v>-0.10666717603911981</v>
      </c>
      <c r="X63" s="109">
        <f t="shared" si="97"/>
        <v>-0.10833136000049202</v>
      </c>
      <c r="Y63" s="109">
        <f t="shared" si="97"/>
        <v>-0.10573661385203315</v>
      </c>
      <c r="Z63" s="109">
        <f t="shared" si="97"/>
        <v>-0.10283106385317682</v>
      </c>
      <c r="AA63" s="109">
        <f t="shared" si="97"/>
        <v>-9.9797396408220121E-2</v>
      </c>
      <c r="AB63" s="109">
        <f t="shared" si="97"/>
        <v>-0.10180707952179302</v>
      </c>
      <c r="AC63" s="109">
        <f t="shared" si="97"/>
        <v>-0.1298184714129674</v>
      </c>
      <c r="AE63" s="68">
        <f t="shared" si="97"/>
        <v>-7.9214345059906606E-3</v>
      </c>
      <c r="AF63" s="9">
        <f t="shared" si="97"/>
        <v>-6.4112634834870105E-2</v>
      </c>
      <c r="AG63" s="9">
        <f t="shared" si="97"/>
        <v>-6.0042834959679575E-2</v>
      </c>
      <c r="AH63" s="9">
        <f t="shared" si="97"/>
        <v>-5.4867190020432291E-2</v>
      </c>
      <c r="AI63" s="9">
        <f t="shared" si="97"/>
        <v>-4.911750613387969E-2</v>
      </c>
      <c r="AJ63" s="9">
        <f t="shared" si="97"/>
        <v>-4.0215916996581544E-2</v>
      </c>
      <c r="AK63">
        <f t="shared" si="97"/>
        <v>0</v>
      </c>
      <c r="AL63" s="2">
        <f t="shared" si="97"/>
        <v>2.2879318955790016E-2</v>
      </c>
      <c r="AM63" s="6">
        <f t="shared" si="97"/>
        <v>-1.9045436075889753E-3</v>
      </c>
      <c r="AN63" s="6">
        <f t="shared" si="97"/>
        <v>4.8573816020161375E-3</v>
      </c>
      <c r="AO63" s="6">
        <f t="shared" si="97"/>
        <v>-5.9685193004936155E-3</v>
      </c>
      <c r="AP63" s="6">
        <f t="shared" si="97"/>
        <v>-0.10189445599739444</v>
      </c>
      <c r="AQ63" s="6">
        <f t="shared" si="97"/>
        <v>-0.10097752604226182</v>
      </c>
      <c r="AR63" s="6">
        <f t="shared" si="97"/>
        <v>-0.10622455556239292</v>
      </c>
      <c r="AS63">
        <f t="shared" si="97"/>
        <v>0</v>
      </c>
      <c r="AT63" s="2">
        <f t="shared" si="97"/>
        <v>-3.1819755789892705E-2</v>
      </c>
      <c r="AU63" s="2">
        <f t="shared" si="97"/>
        <v>-2.2857510191706815E-2</v>
      </c>
      <c r="AV63" s="2">
        <f t="shared" si="97"/>
        <v>-3.6931697425369961E-2</v>
      </c>
      <c r="AW63" s="2">
        <f t="shared" si="97"/>
        <v>5.0530089709058179E-3</v>
      </c>
      <c r="AX63" s="2">
        <f t="shared" si="97"/>
        <v>3.783929969554557E-3</v>
      </c>
      <c r="AY63" s="25">
        <f t="shared" si="97"/>
        <v>-1.0191643717260366E-2</v>
      </c>
      <c r="AZ63" s="2">
        <f t="shared" si="97"/>
        <v>-6.028985992335127E-3</v>
      </c>
      <c r="BA63" s="18">
        <f t="shared" si="97"/>
        <v>1.6562293366297109E-2</v>
      </c>
      <c r="BB63" s="18">
        <f t="shared" si="97"/>
        <v>1.2895406076649664E-2</v>
      </c>
      <c r="BC63" s="9">
        <f t="shared" si="97"/>
        <v>-0.20827919568514239</v>
      </c>
      <c r="BD63" s="9">
        <f t="shared" si="97"/>
        <v>0.20743171876553881</v>
      </c>
      <c r="BE63" s="9">
        <f t="shared" si="97"/>
        <v>8.0644541384015236E-2</v>
      </c>
      <c r="BF63" s="9">
        <f t="shared" si="97"/>
        <v>-0.13275654453405908</v>
      </c>
      <c r="BG63" s="9">
        <f t="shared" si="97"/>
        <v>-0.14978650022080822</v>
      </c>
      <c r="BH63" s="9">
        <f t="shared" si="97"/>
        <v>-0.10820358629469261</v>
      </c>
      <c r="BI63" s="9">
        <f t="shared" si="97"/>
        <v>8.0965582715357379E-2</v>
      </c>
      <c r="BJ63" s="9">
        <f t="shared" si="97"/>
        <v>0.18117868836194065</v>
      </c>
      <c r="BK63" s="9">
        <f t="shared" si="97"/>
        <v>0.2189480568326625</v>
      </c>
      <c r="BL63" s="9">
        <f t="shared" si="97"/>
        <v>0.2308430365540339</v>
      </c>
      <c r="BM63" s="9">
        <f t="shared" si="97"/>
        <v>0.20835327280542282</v>
      </c>
      <c r="BN63" s="9">
        <f t="shared" si="97"/>
        <v>0.17653948376052975</v>
      </c>
      <c r="BO63" s="9">
        <f t="shared" si="97"/>
        <v>0.14609423564069868</v>
      </c>
      <c r="BP63" s="9">
        <f t="shared" si="97"/>
        <v>0.12049619771507114</v>
      </c>
      <c r="BQ63" s="9">
        <f t="shared" ref="BQ63:CH63" si="98">BQ45</f>
        <v>0.10891672622854202</v>
      </c>
      <c r="BR63" s="9">
        <f t="shared" si="98"/>
        <v>0.10473586818439791</v>
      </c>
      <c r="BS63" s="9">
        <f t="shared" si="98"/>
        <v>0.10689518551680005</v>
      </c>
      <c r="BT63" s="9">
        <f t="shared" si="98"/>
        <v>0.11424771400605541</v>
      </c>
      <c r="BU63" s="9">
        <f t="shared" si="98"/>
        <v>0.12247696448710303</v>
      </c>
      <c r="BV63" s="9">
        <f t="shared" si="98"/>
        <v>0.13069815975690649</v>
      </c>
      <c r="BW63" s="9">
        <f t="shared" si="98"/>
        <v>0.13334125548676265</v>
      </c>
      <c r="BX63" s="9">
        <f t="shared" si="98"/>
        <v>0.1299776970763093</v>
      </c>
      <c r="BY63" s="9">
        <f t="shared" si="98"/>
        <v>0.12460509973576069</v>
      </c>
      <c r="BZ63" s="9">
        <f t="shared" si="98"/>
        <v>0.11712751298448928</v>
      </c>
      <c r="CA63" s="9">
        <f t="shared" si="98"/>
        <v>0.10902676583208745</v>
      </c>
      <c r="CB63" s="9">
        <f t="shared" si="98"/>
        <v>9.7047385221706445E-2</v>
      </c>
      <c r="CC63" s="9">
        <f t="shared" si="98"/>
        <v>8.4011876617509473E-2</v>
      </c>
      <c r="CD63" s="9">
        <f t="shared" si="98"/>
        <v>6.9991819634406441E-2</v>
      </c>
      <c r="CE63" s="9">
        <f t="shared" si="98"/>
        <v>5.3688649552076993E-2</v>
      </c>
      <c r="CF63" s="9">
        <f t="shared" si="98"/>
        <v>4.3989470980130653E-2</v>
      </c>
      <c r="CG63" s="9">
        <f t="shared" si="98"/>
        <v>3.5188594375633209E-2</v>
      </c>
      <c r="CH63" s="9">
        <f t="shared" si="98"/>
        <v>3.1191684212311107E-2</v>
      </c>
    </row>
    <row r="64" spans="1:86">
      <c r="A64" s="20"/>
      <c r="B64" s="20"/>
      <c r="C64" s="20"/>
      <c r="D64" s="20"/>
      <c r="E64" s="20" t="s">
        <v>506</v>
      </c>
      <c r="F64" s="22" t="str">
        <f t="shared" si="83"/>
        <v>Low</v>
      </c>
      <c r="G64" s="9">
        <f t="shared" ref="G64" si="99">G48</f>
        <v>0.56811301985901852</v>
      </c>
      <c r="H64" s="9">
        <f t="shared" ref="H64:BP64" si="100">H48</f>
        <v>5.0352166975050086E-2</v>
      </c>
      <c r="I64" s="9">
        <f t="shared" si="100"/>
        <v>0.61146628642414436</v>
      </c>
      <c r="J64" s="6">
        <f t="shared" si="100"/>
        <v>41.70036610550715</v>
      </c>
      <c r="K64" s="25">
        <f t="shared" si="100"/>
        <v>3.2881051328690831</v>
      </c>
      <c r="L64" s="25">
        <f t="shared" si="100"/>
        <v>2.8791251084314107</v>
      </c>
      <c r="M64" s="9">
        <f t="shared" si="100"/>
        <v>0.84545048347020302</v>
      </c>
      <c r="N64" s="9">
        <f t="shared" si="100"/>
        <v>3.924969351897329E-2</v>
      </c>
      <c r="O64" s="9">
        <f t="shared" si="100"/>
        <v>3.9559021301510164E-2</v>
      </c>
      <c r="P64" s="25">
        <f t="shared" si="100"/>
        <v>8.4773101431605884</v>
      </c>
      <c r="Q64" s="25">
        <f t="shared" si="100"/>
        <v>4.6746066144650076</v>
      </c>
      <c r="R64" s="25">
        <f t="shared" si="100"/>
        <v>152.56498710993071</v>
      </c>
      <c r="S64" s="25">
        <f t="shared" si="100"/>
        <v>0.86572444422768435</v>
      </c>
      <c r="T64" s="2">
        <f t="shared" si="100"/>
        <v>8.7630625384812311E-2</v>
      </c>
      <c r="U64" s="2">
        <f t="shared" si="100"/>
        <v>1.9460629558432415E-2</v>
      </c>
      <c r="V64" s="2">
        <f t="shared" si="100"/>
        <v>5.4512019319901822E-2</v>
      </c>
      <c r="W64" s="109">
        <f t="shared" si="100"/>
        <v>2.6821358541530539E-2</v>
      </c>
      <c r="X64" s="109">
        <f t="shared" si="100"/>
        <v>2.7014444352296677E-2</v>
      </c>
      <c r="Y64" s="109">
        <f t="shared" si="100"/>
        <v>3.5447309695424437E-2</v>
      </c>
      <c r="Z64" s="109">
        <f t="shared" si="100"/>
        <v>3.8422263471976852E-2</v>
      </c>
      <c r="AA64" s="109">
        <f t="shared" si="100"/>
        <v>4.0042796090308204E-2</v>
      </c>
      <c r="AB64" s="109">
        <f t="shared" si="100"/>
        <v>4.420862047534771E-2</v>
      </c>
      <c r="AC64" s="109">
        <f t="shared" si="100"/>
        <v>4.9304610403085057E-2</v>
      </c>
      <c r="AE64" s="68">
        <f t="shared" si="100"/>
        <v>0.11579457646258443</v>
      </c>
      <c r="AF64" s="9">
        <f t="shared" si="100"/>
        <v>1.6580924110656006E-2</v>
      </c>
      <c r="AG64" s="9">
        <f t="shared" si="100"/>
        <v>2.4097428257042981E-2</v>
      </c>
      <c r="AH64" s="9">
        <f t="shared" si="100"/>
        <v>2.6580858194071296E-2</v>
      </c>
      <c r="AI64" s="9">
        <f t="shared" si="100"/>
        <v>2.8104371658753218E-2</v>
      </c>
      <c r="AJ64" s="9">
        <f t="shared" si="100"/>
        <v>3.0027435393874903E-2</v>
      </c>
      <c r="AK64">
        <f t="shared" si="100"/>
        <v>0</v>
      </c>
      <c r="AL64" s="2">
        <f t="shared" si="100"/>
        <v>8.1557165537827769E-2</v>
      </c>
      <c r="AM64" s="6">
        <f t="shared" si="100"/>
        <v>306.56371067039294</v>
      </c>
      <c r="AN64" s="6">
        <f t="shared" si="100"/>
        <v>135.11808930092707</v>
      </c>
      <c r="AO64" s="6">
        <f t="shared" si="100"/>
        <v>100.43147825922597</v>
      </c>
      <c r="AP64" s="6">
        <f t="shared" si="100"/>
        <v>670.22543871446715</v>
      </c>
      <c r="AQ64" s="6">
        <f t="shared" si="100"/>
        <v>594.49541943847976</v>
      </c>
      <c r="AR64" s="6">
        <f t="shared" si="100"/>
        <v>220.96877599108862</v>
      </c>
      <c r="AS64">
        <f t="shared" si="100"/>
        <v>0</v>
      </c>
      <c r="AT64" s="2">
        <f t="shared" si="100"/>
        <v>5.5955281342465982E-2</v>
      </c>
      <c r="AU64" s="2">
        <f t="shared" si="100"/>
        <v>4.9990565462010188E-2</v>
      </c>
      <c r="AV64" s="2">
        <f t="shared" si="100"/>
        <v>6.2501325598885452E-2</v>
      </c>
      <c r="AW64" s="2">
        <f t="shared" si="100"/>
        <v>4.2752226902664628E-2</v>
      </c>
      <c r="AX64" s="2">
        <f t="shared" si="100"/>
        <v>7.9522973560707221E-3</v>
      </c>
      <c r="AY64" s="25">
        <f t="shared" si="100"/>
        <v>7.4224291714370789</v>
      </c>
      <c r="AZ64" s="2">
        <f t="shared" si="100"/>
        <v>2.1658680707743905E-2</v>
      </c>
      <c r="BA64" s="18">
        <f t="shared" si="100"/>
        <v>25983.345781480875</v>
      </c>
      <c r="BB64" s="18">
        <f t="shared" si="100"/>
        <v>20989.686982063438</v>
      </c>
      <c r="BC64" s="9">
        <f t="shared" si="100"/>
        <v>0.75610221005496503</v>
      </c>
      <c r="BD64" s="9">
        <f t="shared" si="100"/>
        <v>0.65351515824041861</v>
      </c>
      <c r="BE64" s="9">
        <f t="shared" si="100"/>
        <v>1.1348144599228551</v>
      </c>
      <c r="BF64" s="9">
        <f t="shared" si="100"/>
        <v>2.1809011609424274</v>
      </c>
      <c r="BG64" s="9">
        <f t="shared" si="100"/>
        <v>2.3661914218845443</v>
      </c>
      <c r="BH64" s="9">
        <f t="shared" si="100"/>
        <v>1.4495476882289882</v>
      </c>
      <c r="BI64" s="9">
        <f t="shared" si="100"/>
        <v>0.9902111231702071</v>
      </c>
      <c r="BJ64" s="9">
        <f t="shared" si="100"/>
        <v>1.0282110415911718</v>
      </c>
      <c r="BK64" s="9">
        <f t="shared" si="100"/>
        <v>0.15645444640533551</v>
      </c>
      <c r="BL64" s="9">
        <f t="shared" si="100"/>
        <v>1.6120408265456607</v>
      </c>
      <c r="BM64" s="9">
        <f t="shared" si="100"/>
        <v>3.4882496754748034</v>
      </c>
      <c r="BN64" s="9">
        <f t="shared" si="100"/>
        <v>5.5164935534268524</v>
      </c>
      <c r="BO64" s="9">
        <f t="shared" si="100"/>
        <v>6.692553551896312</v>
      </c>
      <c r="BP64" s="9">
        <f t="shared" si="100"/>
        <v>7.6089639403140783</v>
      </c>
      <c r="BQ64" s="9">
        <f t="shared" ref="BQ64:CH64" si="101">BQ48</f>
        <v>8.378366828923161</v>
      </c>
      <c r="BR64" s="9">
        <f t="shared" si="101"/>
        <v>8.6416226835589196</v>
      </c>
      <c r="BS64" s="9">
        <f t="shared" si="101"/>
        <v>8.1113633083471317</v>
      </c>
      <c r="BT64" s="9">
        <f t="shared" si="101"/>
        <v>6.7759921520763404</v>
      </c>
      <c r="BU64" s="9">
        <f t="shared" si="101"/>
        <v>5.316028780960468</v>
      </c>
      <c r="BV64" s="9">
        <f t="shared" si="101"/>
        <v>3.7138662361479864</v>
      </c>
      <c r="BW64" s="9">
        <f t="shared" si="101"/>
        <v>2.6254167678675309</v>
      </c>
      <c r="BX64" s="9">
        <f t="shared" si="101"/>
        <v>2.0361846871047824</v>
      </c>
      <c r="BY64" s="9">
        <f t="shared" si="101"/>
        <v>1.5777673608615441</v>
      </c>
      <c r="BZ64" s="9">
        <f t="shared" si="101"/>
        <v>1.2528517949063243</v>
      </c>
      <c r="CA64" s="9">
        <f t="shared" si="101"/>
        <v>1.0247391472955454</v>
      </c>
      <c r="CB64" s="9">
        <f t="shared" si="101"/>
        <v>0.88907364025709312</v>
      </c>
      <c r="CC64" s="9">
        <f t="shared" si="101"/>
        <v>0.75523246871410399</v>
      </c>
      <c r="CD64" s="9">
        <f t="shared" si="101"/>
        <v>0.62243781520727015</v>
      </c>
      <c r="CE64" s="9">
        <f t="shared" si="101"/>
        <v>0.52588945530405717</v>
      </c>
      <c r="CF64" s="9">
        <f t="shared" si="101"/>
        <v>0.46393275913649179</v>
      </c>
      <c r="CG64" s="9">
        <f t="shared" si="101"/>
        <v>0.40616213511355309</v>
      </c>
      <c r="CH64" s="9">
        <f t="shared" si="101"/>
        <v>0.35220988770901762</v>
      </c>
    </row>
    <row r="65" spans="1:25">
      <c r="A65" s="4"/>
      <c r="B65" s="3"/>
      <c r="C65" s="3"/>
      <c r="D65" s="3"/>
      <c r="E65" s="22"/>
      <c r="F65" s="11"/>
      <c r="G65" s="3"/>
      <c r="H65" s="5"/>
      <c r="I65" s="17"/>
      <c r="J65" s="5"/>
      <c r="K65" s="3"/>
      <c r="L65" s="3"/>
      <c r="M65" s="3"/>
      <c r="N65" s="3"/>
      <c r="O65" s="3"/>
      <c r="P65" s="3"/>
      <c r="Q65" s="3"/>
      <c r="R65" s="3"/>
      <c r="S65" s="3"/>
      <c r="T65" s="3"/>
      <c r="U65" s="3"/>
      <c r="W65" s="14"/>
      <c r="X65" s="15"/>
      <c r="Y65" s="15"/>
    </row>
    <row r="66" spans="1:25">
      <c r="A66" s="4"/>
      <c r="B66" s="3"/>
      <c r="C66" s="3"/>
      <c r="D66" s="3"/>
      <c r="E66" s="22"/>
      <c r="F66" s="11"/>
      <c r="G66" s="3"/>
      <c r="H66" s="5"/>
      <c r="I66" s="17"/>
      <c r="J66" s="5"/>
      <c r="K66" s="3"/>
      <c r="L66" s="3"/>
      <c r="M66" s="3"/>
      <c r="N66" s="3"/>
      <c r="O66" s="3"/>
      <c r="P66" s="3"/>
      <c r="Q66" s="3"/>
      <c r="R66" s="3"/>
      <c r="S66" s="3"/>
      <c r="T66" s="3"/>
      <c r="U66" s="3"/>
      <c r="W66" s="14"/>
      <c r="X66" s="15"/>
      <c r="Y66" s="15"/>
    </row>
  </sheetData>
  <conditionalFormatting sqref="G34:CH34">
    <cfRule type="colorScale" priority="900">
      <colorScale>
        <cfvo type="percent" val="0"/>
        <cfvo type="percent" val="100"/>
        <color rgb="FFFCFCFF"/>
        <color rgb="FF63BE7B"/>
      </colorScale>
    </cfRule>
  </conditionalFormatting>
  <conditionalFormatting sqref="G37:CH37">
    <cfRule type="colorScale" priority="902">
      <colorScale>
        <cfvo type="percent" val="0"/>
        <cfvo type="percent" val="100"/>
        <color rgb="FFFCFCFF"/>
        <color rgb="FF63BE7B"/>
      </colorScale>
    </cfRule>
  </conditionalFormatting>
  <conditionalFormatting sqref="G40:CH40">
    <cfRule type="colorScale" priority="904">
      <colorScale>
        <cfvo type="percent" val="0"/>
        <cfvo type="percent" val="100"/>
        <color rgb="FFFCFCFF"/>
        <color rgb="FF63BE7B"/>
      </colorScale>
    </cfRule>
  </conditionalFormatting>
  <conditionalFormatting sqref="G43:CH43">
    <cfRule type="colorScale" priority="906">
      <colorScale>
        <cfvo type="percent" val="0"/>
        <cfvo type="percent" val="100"/>
        <color rgb="FFFCFCFF"/>
        <color rgb="FF63BE7B"/>
      </colorScale>
    </cfRule>
  </conditionalFormatting>
  <conditionalFormatting sqref="G46:CH46">
    <cfRule type="colorScale" priority="908">
      <colorScale>
        <cfvo type="percent" val="0"/>
        <cfvo type="percent" val="100"/>
        <color rgb="FFFCFCFF"/>
        <color rgb="FF63BE7B"/>
      </colorScale>
    </cfRule>
  </conditionalFormatting>
  <conditionalFormatting sqref="G49:CH49">
    <cfRule type="colorScale" priority="910">
      <colorScale>
        <cfvo type="percent" val="0"/>
        <cfvo type="percent" val="100"/>
        <color rgb="FFFCFCFF"/>
        <color rgb="FF63BE7B"/>
      </colorScale>
    </cfRule>
  </conditionalFormatting>
  <pageMargins left="0.7" right="0.7" top="0.75" bottom="0.75" header="0.3" footer="0.3"/>
  <pageSetup orientation="portrait" r:id="rId1"/>
  <ignoredErrors>
    <ignoredError sqref="AE3:AE8 AL3:AL24 AW3:AX10 AE11:AE24 AW11:AX12 AX13:AX24 AW15:AW24" formulaRange="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3946-A730-4248-AF7E-69ED1F2A5794}">
  <dimension ref="A1:CJ66"/>
  <sheetViews>
    <sheetView workbookViewId="0">
      <pane xSplit="4" ySplit="1" topLeftCell="E2" activePane="bottomRight" state="frozenSplit"/>
      <selection pane="topRight" activeCell="A7" sqref="A7"/>
      <selection pane="bottomLeft" activeCell="A7" sqref="A7"/>
      <selection pane="bottomRight" activeCell="A7" sqref="A7"/>
    </sheetView>
  </sheetViews>
  <sheetFormatPr defaultRowHeight="15"/>
  <cols>
    <col min="1" max="1" width="9.7109375" bestFit="1" customWidth="1"/>
    <col min="2" max="2" width="14.140625" customWidth="1"/>
    <col min="3" max="3" width="15.42578125" bestFit="1" customWidth="1"/>
    <col min="4" max="4" width="11.140625" bestFit="1" customWidth="1"/>
    <col min="5" max="6" width="14.85546875" bestFit="1" customWidth="1"/>
    <col min="10" max="10" width="9.42578125" customWidth="1"/>
    <col min="11" max="11" width="8" customWidth="1"/>
    <col min="17" max="17" width="10.5703125" bestFit="1" customWidth="1"/>
    <col min="30" max="34" width="11" customWidth="1"/>
  </cols>
  <sheetData>
    <row r="1" spans="1:75" ht="30">
      <c r="A1" s="16" t="s">
        <v>18</v>
      </c>
      <c r="B1" s="12" t="s">
        <v>21</v>
      </c>
      <c r="C1" s="12" t="s">
        <v>23</v>
      </c>
      <c r="D1" s="12" t="s">
        <v>25</v>
      </c>
      <c r="E1" s="12" t="s">
        <v>27</v>
      </c>
      <c r="F1" s="12" t="s">
        <v>29</v>
      </c>
      <c r="G1" s="12" t="s">
        <v>211</v>
      </c>
      <c r="H1" s="12" t="s">
        <v>213</v>
      </c>
      <c r="I1" s="12" t="s">
        <v>215</v>
      </c>
      <c r="J1" s="12" t="s">
        <v>217</v>
      </c>
      <c r="K1" s="12" t="s">
        <v>220</v>
      </c>
      <c r="L1" s="12" t="s">
        <v>224</v>
      </c>
      <c r="M1" s="12" t="s">
        <v>226</v>
      </c>
      <c r="N1" s="12" t="s">
        <v>228</v>
      </c>
      <c r="O1" s="12" t="s">
        <v>230</v>
      </c>
      <c r="P1" s="12" t="s">
        <v>309</v>
      </c>
      <c r="Q1" s="12" t="s">
        <v>311</v>
      </c>
      <c r="R1" s="12" t="s">
        <v>313</v>
      </c>
      <c r="S1" s="12"/>
      <c r="T1" s="29" t="s">
        <v>315</v>
      </c>
      <c r="U1" s="29" t="s">
        <v>317</v>
      </c>
      <c r="V1" s="29" t="s">
        <v>319</v>
      </c>
      <c r="W1" s="12" t="s">
        <v>321</v>
      </c>
      <c r="X1" s="12" t="s">
        <v>323</v>
      </c>
      <c r="Y1" s="12" t="s">
        <v>325</v>
      </c>
      <c r="Z1" s="12" t="s">
        <v>327</v>
      </c>
      <c r="AA1" s="12" t="s">
        <v>329</v>
      </c>
      <c r="AB1" s="12" t="s">
        <v>534</v>
      </c>
      <c r="AC1" s="12" t="s">
        <v>535</v>
      </c>
      <c r="AD1" s="12" t="s">
        <v>536</v>
      </c>
      <c r="AE1" s="8"/>
      <c r="AF1" s="8"/>
      <c r="AG1" s="8"/>
      <c r="AH1" s="8"/>
      <c r="AI1" s="12"/>
      <c r="AJ1" s="8"/>
      <c r="AL1" s="12"/>
      <c r="AM1" s="12"/>
      <c r="AN1" s="12"/>
      <c r="AO1" s="8"/>
      <c r="AP1" s="8"/>
      <c r="AQ1" s="8"/>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row>
    <row r="2" spans="1:75" ht="15" customHeight="1">
      <c r="A2" s="70">
        <f>IF(ISBLANK('Phase CEMS PM Concentrations'!A2),"",'Phase CEMS PM Concentrations'!A2)</f>
        <v>44301</v>
      </c>
      <c r="B2" s="70" t="str">
        <f>IF(ISBLANK('Phase CEMS PM Concentrations'!B2),"",'Phase CEMS PM Concentrations'!B2)</f>
        <v>BK Princess</v>
      </c>
      <c r="C2" s="70" t="str">
        <f>IF(ISBLANK('Phase CEMS PM Concentrations'!C2),"",'Phase CEMS PM Concentrations'!C2)</f>
        <v>None</v>
      </c>
      <c r="D2" s="70" t="str">
        <f>IF(ISBLANK('Phase CEMS PM Concentrations'!D2),"",'Phase CEMS PM Concentrations'!D2)</f>
        <v>Background</v>
      </c>
      <c r="E2" s="127">
        <f>IF(ISBLANK('Phase CEMS PM Concentrations'!E2),"",'Phase CEMS PM Concentrations'!E2)</f>
        <v>44301.404166666667</v>
      </c>
      <c r="F2" s="127">
        <f>IF(ISBLANK('Phase CEMS PM Concentrations'!F2),"",'Phase CEMS PM Concentrations'!F2)</f>
        <v>44301.571875000001</v>
      </c>
      <c r="G2" s="136">
        <f>IF(ISBLANK('Phase CEMS PM Concentrations'!G2),"",'Phase CEMS PM Concentrations'!G2)</f>
        <v>0.124541</v>
      </c>
      <c r="H2" s="137">
        <f>IF(ISBLANK('Phase CEMS PM Concentrations'!H2),"",'Phase CEMS PM Concentrations'!H2)</f>
        <v>1.00207E-2</v>
      </c>
      <c r="I2" s="137">
        <f>IF(ISBLANK('Phase CEMS PM Concentrations'!I2),"",'Phase CEMS PM Concentrations'!I2)</f>
        <v>20.957699999999999</v>
      </c>
      <c r="J2" s="124">
        <f>IF(ISBLANK('Phase CEMS PM Concentrations'!J2),"",'Phase CEMS PM Concentrations'!J2)</f>
        <v>430.62400000000002</v>
      </c>
      <c r="K2" s="73">
        <f>IF(ISBLANK('Phase CEMS PM Concentrations'!K2),"",'Phase CEMS PM Concentrations'!K2)</f>
        <v>-1.7608600000000001</v>
      </c>
      <c r="L2" s="73">
        <f>IF(ISBLANK('Phase CEMS PM Concentrations'!L2),"",'Phase CEMS PM Concentrations'!L2)</f>
        <v>2.6381100000000002</v>
      </c>
      <c r="M2" s="44"/>
      <c r="N2" s="73">
        <f>IF(ISBLANK('Phase CEMS PM Concentrations'!N2),"",'Phase CEMS PM Concentrations'!N2)</f>
        <v>2.8635000000000001E-2</v>
      </c>
      <c r="O2" s="73">
        <f>IF(ISBLANK('Phase CEMS PM Concentrations'!O2),"",'Phase CEMS PM Concentrations'!O2)</f>
        <v>1.36788E-2</v>
      </c>
      <c r="P2" s="44"/>
      <c r="Q2" s="73"/>
      <c r="R2" s="73"/>
      <c r="T2" s="76" t="s">
        <v>537</v>
      </c>
      <c r="U2" s="76" t="s">
        <v>537</v>
      </c>
      <c r="V2" s="76" t="s">
        <v>537</v>
      </c>
      <c r="W2" s="76" t="s">
        <v>537</v>
      </c>
      <c r="X2" s="76" t="s">
        <v>537</v>
      </c>
      <c r="Y2" s="76" t="s">
        <v>537</v>
      </c>
      <c r="Z2" s="76" t="s">
        <v>538</v>
      </c>
      <c r="AA2" s="76" t="s">
        <v>539</v>
      </c>
      <c r="AB2" s="76" t="s">
        <v>537</v>
      </c>
      <c r="AC2" s="76" t="s">
        <v>537</v>
      </c>
      <c r="AD2" s="76" t="s">
        <v>540</v>
      </c>
      <c r="AE2" s="2"/>
      <c r="AF2" s="2"/>
      <c r="AG2" s="2"/>
    </row>
    <row r="3" spans="1:75" ht="15" customHeight="1">
      <c r="A3" s="20">
        <f>IF(ISBLANK('Phase CEMS PM Concentrations'!A3),"",'Phase CEMS PM Concentrations'!A3)</f>
        <v>44308</v>
      </c>
      <c r="B3" s="20" t="str">
        <f>IF(ISBLANK('Phase CEMS PM Concentrations'!B3),"",'Phase CEMS PM Concentrations'!B3)</f>
        <v>BK Princess</v>
      </c>
      <c r="C3" s="20" t="str">
        <f>IF(ISBLANK('Phase CEMS PM Concentrations'!C3),"",'Phase CEMS PM Concentrations'!C3)</f>
        <v>Wet spruce</v>
      </c>
      <c r="D3" s="20" t="str">
        <f>IF(ISBLANK('Phase CEMS PM Concentrations'!D3),"",'Phase CEMS PM Concentrations'!D3)</f>
        <v>Startup</v>
      </c>
      <c r="E3" s="22">
        <f>IF(ISBLANK('Phase CEMS PM Concentrations'!E3),"",'Phase CEMS PM Concentrations'!E3)</f>
        <v>44308.381249999999</v>
      </c>
      <c r="F3" s="22">
        <f>IF(ISBLANK('Phase CEMS PM Concentrations'!F3),"",'Phase CEMS PM Concentrations'!F3)</f>
        <v>44308.405555555553</v>
      </c>
      <c r="G3" s="133">
        <f>IF(ISBLANK('Phase CEMS PM Concentrations'!G3),"",'Phase CEMS PM Concentrations'!G3)</f>
        <v>8.4894099999999995</v>
      </c>
      <c r="H3" s="134">
        <f>IF(ISBLANK('Phase CEMS PM Concentrations'!H3),"",'Phase CEMS PM Concentrations'!H3)</f>
        <v>0.82381700000000002</v>
      </c>
      <c r="I3" s="134">
        <f>IF(ISBLANK('Phase CEMS PM Concentrations'!I3),"",'Phase CEMS PM Concentrations'!I3)</f>
        <v>12.272399999999999</v>
      </c>
      <c r="J3" s="6">
        <f>IF(ISBLANK('Phase CEMS PM Concentrations'!J3),"",'Phase CEMS PM Concentrations'!J3)</f>
        <v>2034.36</v>
      </c>
      <c r="K3" s="9">
        <f>IF(ISBLANK('Phase CEMS PM Concentrations'!K3),"",'Phase CEMS PM Concentrations'!K3)</f>
        <v>109.229</v>
      </c>
      <c r="L3" s="9">
        <f>IF(ISBLANK('Phase CEMS PM Concentrations'!L3),"",'Phase CEMS PM Concentrations'!L3)</f>
        <v>86.252300000000005</v>
      </c>
      <c r="M3" s="9">
        <f>IF(ISBLANK('Phase CEMS PM Concentrations'!M3),"",'Phase CEMS PM Concentrations'!M3)</f>
        <v>17.988700000000001</v>
      </c>
      <c r="N3" s="9">
        <f>IF(ISBLANK('Phase CEMS PM Concentrations'!N3),"",'Phase CEMS PM Concentrations'!N3)</f>
        <v>1.97106</v>
      </c>
      <c r="O3" s="9">
        <f>IF(ISBLANK('Phase CEMS PM Concentrations'!O3),"",'Phase CEMS PM Concentrations'!O3)</f>
        <v>1.78566</v>
      </c>
      <c r="P3" s="109">
        <f t="shared" ref="P3:P6" si="0">M3/L3</f>
        <v>0.2085590761057966</v>
      </c>
      <c r="Q3" s="68">
        <f>(G3-Backgrounds!$G$34)/(G3-Backgrounds!$G$34 + 'Phase CEMS VOC Concentration'!H3 - Backgrounds!$H$34)</f>
        <v>0.91168850061747031</v>
      </c>
      <c r="R3" s="68">
        <f>(J3-Backgrounds!$J$34)/(J3-Backgrounds!$J$34 + 'Phase CEMS VOC Concentration'!K3 - Backgrounds!$L$34)</f>
        <v>0.93402503226183797</v>
      </c>
      <c r="T3" s="76" t="s">
        <v>537</v>
      </c>
      <c r="U3" s="76" t="s">
        <v>537</v>
      </c>
      <c r="V3" s="76" t="s">
        <v>537</v>
      </c>
      <c r="W3" s="76" t="s">
        <v>537</v>
      </c>
      <c r="X3" s="76" t="s">
        <v>537</v>
      </c>
      <c r="Y3" s="76" t="s">
        <v>537</v>
      </c>
      <c r="Z3" s="76" t="s">
        <v>537</v>
      </c>
      <c r="AA3" s="76" t="s">
        <v>539</v>
      </c>
      <c r="AB3" s="76" t="s">
        <v>537</v>
      </c>
      <c r="AC3" s="76" t="s">
        <v>537</v>
      </c>
      <c r="AD3" s="76" t="s">
        <v>537</v>
      </c>
      <c r="AE3" s="2"/>
      <c r="AF3" s="2"/>
      <c r="AG3" s="2"/>
    </row>
    <row r="4" spans="1:75" ht="15" customHeight="1">
      <c r="A4" s="20">
        <f>IF(ISBLANK('Phase CEMS PM Concentrations'!A4),"",'Phase CEMS PM Concentrations'!A4)</f>
        <v>44308</v>
      </c>
      <c r="B4" s="20" t="str">
        <f>IF(ISBLANK('Phase CEMS PM Concentrations'!B4),"",'Phase CEMS PM Concentrations'!B4)</f>
        <v>BK Princess</v>
      </c>
      <c r="C4" s="20" t="str">
        <f>IF(ISBLANK('Phase CEMS PM Concentrations'!C4),"",'Phase CEMS PM Concentrations'!C4)</f>
        <v>Wet spruce</v>
      </c>
      <c r="D4" s="20" t="str">
        <f>IF(ISBLANK('Phase CEMS PM Concentrations'!D4),"",'Phase CEMS PM Concentrations'!D4)</f>
        <v>High</v>
      </c>
      <c r="E4" s="22">
        <f>IF(ISBLANK('Phase CEMS PM Concentrations'!E4),"",'Phase CEMS PM Concentrations'!E4)</f>
        <v>44308.406944444447</v>
      </c>
      <c r="F4" s="22">
        <f>IF(ISBLANK('Phase CEMS PM Concentrations'!F4),"",'Phase CEMS PM Concentrations'!F4)</f>
        <v>44308.557638888888</v>
      </c>
      <c r="G4" s="133">
        <f>IF(ISBLANK('Phase CEMS PM Concentrations'!G4),"",'Phase CEMS PM Concentrations'!G4)</f>
        <v>9.9315899999999999</v>
      </c>
      <c r="H4" s="134">
        <f>IF(ISBLANK('Phase CEMS PM Concentrations'!H4),"",'Phase CEMS PM Concentrations'!H4)</f>
        <v>0.115884</v>
      </c>
      <c r="I4" s="134">
        <f>IF(ISBLANK('Phase CEMS PM Concentrations'!I4),"",'Phase CEMS PM Concentrations'!I4)</f>
        <v>11.117100000000001</v>
      </c>
      <c r="J4" s="6">
        <f>IF(ISBLANK('Phase CEMS PM Concentrations'!J4),"",'Phase CEMS PM Concentrations'!J4)</f>
        <v>1359.26</v>
      </c>
      <c r="K4" s="9">
        <f>IF(ISBLANK('Phase CEMS PM Concentrations'!K4),"",'Phase CEMS PM Concentrations'!K4)</f>
        <v>18.224799999999998</v>
      </c>
      <c r="L4" s="9">
        <f>IF(ISBLANK('Phase CEMS PM Concentrations'!L4),"",'Phase CEMS PM Concentrations'!L4)</f>
        <v>45.237499999999997</v>
      </c>
      <c r="M4" s="9">
        <f>IF(ISBLANK('Phase CEMS PM Concentrations'!M4),"",'Phase CEMS PM Concentrations'!M4)</f>
        <v>19.4877</v>
      </c>
      <c r="N4" s="9">
        <f>IF(ISBLANK('Phase CEMS PM Concentrations'!N4),"",'Phase CEMS PM Concentrations'!N4)</f>
        <v>0.90268300000000001</v>
      </c>
      <c r="O4" s="9">
        <f>IF(ISBLANK('Phase CEMS PM Concentrations'!O4),"",'Phase CEMS PM Concentrations'!O4)</f>
        <v>0.87146800000000002</v>
      </c>
      <c r="P4" s="109">
        <f t="shared" si="0"/>
        <v>0.43078640508427746</v>
      </c>
      <c r="Q4" s="68">
        <f>(G4-Backgrounds!$G$34)/(G4-Backgrounds!$G$34 + 'Phase CEMS VOC Concentration'!H4 - Backgrounds!$H$34)</f>
        <v>0.98935790793178235</v>
      </c>
      <c r="R4" s="68">
        <f>(J4-Backgrounds!$J$34)/(J4-Backgrounds!$J$34 + 'Phase CEMS VOC Concentration'!K4 - Backgrounds!$L$34)</f>
        <v>0.97887947025820798</v>
      </c>
      <c r="T4" s="76" t="s">
        <v>537</v>
      </c>
      <c r="U4" s="76" t="s">
        <v>537</v>
      </c>
      <c r="V4" s="76" t="s">
        <v>537</v>
      </c>
      <c r="W4" s="76" t="s">
        <v>537</v>
      </c>
      <c r="X4" s="76" t="s">
        <v>537</v>
      </c>
      <c r="Y4" s="76" t="s">
        <v>537</v>
      </c>
      <c r="Z4" s="76" t="s">
        <v>537</v>
      </c>
      <c r="AA4" s="76" t="s">
        <v>539</v>
      </c>
      <c r="AB4" s="76" t="s">
        <v>537</v>
      </c>
      <c r="AC4" s="76" t="s">
        <v>537</v>
      </c>
      <c r="AD4" s="76" t="s">
        <v>537</v>
      </c>
      <c r="AE4" s="2"/>
      <c r="AF4" s="2"/>
      <c r="AG4" s="2"/>
    </row>
    <row r="5" spans="1:75" ht="15" customHeight="1">
      <c r="A5" s="20">
        <f>IF(ISBLANK('Phase CEMS PM Concentrations'!A5),"",'Phase CEMS PM Concentrations'!A5)</f>
        <v>44312</v>
      </c>
      <c r="B5" s="20" t="str">
        <f>IF(ISBLANK('Phase CEMS PM Concentrations'!B5),"",'Phase CEMS PM Concentrations'!B5)</f>
        <v>BK Princess</v>
      </c>
      <c r="C5" s="20" t="str">
        <f>IF(ISBLANK('Phase CEMS PM Concentrations'!C5),"",'Phase CEMS PM Concentrations'!C5)</f>
        <v>Wet spruce</v>
      </c>
      <c r="D5" s="20" t="str">
        <f>IF(ISBLANK('Phase CEMS PM Concentrations'!D5),"",'Phase CEMS PM Concentrations'!D5)</f>
        <v>Startup</v>
      </c>
      <c r="E5" s="22">
        <f>IF(ISBLANK('Phase CEMS PM Concentrations'!E5),"",'Phase CEMS PM Concentrations'!E5)</f>
        <v>44312.376388888886</v>
      </c>
      <c r="F5" s="22">
        <f>IF(ISBLANK('Phase CEMS PM Concentrations'!F5),"",'Phase CEMS PM Concentrations'!F5)</f>
        <v>44312.395833333336</v>
      </c>
      <c r="G5" s="135">
        <f>IF(ISBLANK('Phase CEMS PM Concentrations'!G5),"",'Phase CEMS PM Concentrations'!G5)</f>
        <v>7.96983</v>
      </c>
      <c r="H5" s="134">
        <f>IF(ISBLANK('Phase CEMS PM Concentrations'!H5),"",'Phase CEMS PM Concentrations'!H5)</f>
        <v>0.69052899999999995</v>
      </c>
      <c r="I5" s="134">
        <f>IF(ISBLANK('Phase CEMS PM Concentrations'!I5),"",'Phase CEMS PM Concentrations'!I5)</f>
        <v>12.2705</v>
      </c>
      <c r="J5" s="6">
        <f>IF(ISBLANK('Phase CEMS PM Concentrations'!J5),"",'Phase CEMS PM Concentrations'!J5)</f>
        <v>2192.56</v>
      </c>
      <c r="K5" s="9">
        <f>IF(ISBLANK('Phase CEMS PM Concentrations'!K5),"",'Phase CEMS PM Concentrations'!K5)</f>
        <v>114.738</v>
      </c>
      <c r="L5" s="28">
        <f>IF(ISBLANK('Phase CEMS PM Concentrations'!L5),"",'Phase CEMS PM Concentrations'!L5)</f>
        <v>81.977400000000003</v>
      </c>
      <c r="M5" s="9">
        <f>IF(ISBLANK('Phase CEMS PM Concentrations'!M5),"",'Phase CEMS PM Concentrations'!M5)</f>
        <v>16.199100000000001</v>
      </c>
      <c r="N5" s="9">
        <f>IF(ISBLANK('Phase CEMS PM Concentrations'!N5),"",'Phase CEMS PM Concentrations'!N5)</f>
        <v>1.47776</v>
      </c>
      <c r="O5" s="9">
        <f>IF(ISBLANK('Phase CEMS PM Concentrations'!O5),"",'Phase CEMS PM Concentrations'!O5)</f>
        <v>0.72282000000000002</v>
      </c>
      <c r="P5" s="109">
        <f t="shared" si="0"/>
        <v>0.19760446171749776</v>
      </c>
      <c r="Q5" s="68">
        <f>(G5-Backgrounds!$G$34)/(G5-Backgrounds!$G$34 + 'Phase CEMS VOC Concentration'!H5 - Backgrounds!$H$34)</f>
        <v>0.92052153357425892</v>
      </c>
      <c r="R5" s="68">
        <f>(J5-Backgrounds!$J$34)/(J5-Backgrounds!$J$34 + 'Phase CEMS VOC Concentration'!K5 - Backgrounds!$L$34)</f>
        <v>0.93691374398206162</v>
      </c>
      <c r="T5" s="76" t="s">
        <v>537</v>
      </c>
      <c r="U5" s="76" t="s">
        <v>537</v>
      </c>
      <c r="V5" s="76" t="s">
        <v>537</v>
      </c>
      <c r="W5" s="76" t="s">
        <v>537</v>
      </c>
      <c r="X5" s="76" t="s">
        <v>537</v>
      </c>
      <c r="Y5" s="76" t="s">
        <v>541</v>
      </c>
      <c r="Z5" s="76" t="s">
        <v>537</v>
      </c>
      <c r="AA5" s="76" t="s">
        <v>537</v>
      </c>
      <c r="AB5" s="76" t="s">
        <v>537</v>
      </c>
      <c r="AC5" s="76" t="s">
        <v>542</v>
      </c>
      <c r="AD5" s="76" t="s">
        <v>543</v>
      </c>
      <c r="AE5" s="2"/>
      <c r="AF5" s="2"/>
      <c r="AG5" s="2"/>
    </row>
    <row r="6" spans="1:75" ht="15" customHeight="1">
      <c r="A6" s="20">
        <f>IF(ISBLANK('Phase CEMS PM Concentrations'!A6),"",'Phase CEMS PM Concentrations'!A6)</f>
        <v>44312</v>
      </c>
      <c r="B6" s="20" t="str">
        <f>IF(ISBLANK('Phase CEMS PM Concentrations'!B6),"",'Phase CEMS PM Concentrations'!B6)</f>
        <v>BK Princess</v>
      </c>
      <c r="C6" s="20" t="str">
        <f>IF(ISBLANK('Phase CEMS PM Concentrations'!C6),"",'Phase CEMS PM Concentrations'!C6)</f>
        <v>Wet spruce</v>
      </c>
      <c r="D6" s="20" t="str">
        <f>IF(ISBLANK('Phase CEMS PM Concentrations'!D6),"",'Phase CEMS PM Concentrations'!D6)</f>
        <v>High</v>
      </c>
      <c r="E6" s="22">
        <f>IF(ISBLANK('Phase CEMS PM Concentrations'!E6),"",'Phase CEMS PM Concentrations'!E6)</f>
        <v>44312.397222222222</v>
      </c>
      <c r="F6" s="22">
        <f>IF(ISBLANK('Phase CEMS PM Concentrations'!F6),"",'Phase CEMS PM Concentrations'!F6)</f>
        <v>44312.567361111112</v>
      </c>
      <c r="G6" s="135">
        <f>IF(ISBLANK('Phase CEMS PM Concentrations'!G6),"",'Phase CEMS PM Concentrations'!G6)</f>
        <v>9.1106599999999993</v>
      </c>
      <c r="H6" s="134">
        <f>IF(ISBLANK('Phase CEMS PM Concentrations'!H6),"",'Phase CEMS PM Concentrations'!H6)</f>
        <v>5.0576200000000002E-2</v>
      </c>
      <c r="I6" s="134">
        <f>IF(ISBLANK('Phase CEMS PM Concentrations'!I6),"",'Phase CEMS PM Concentrations'!I6)</f>
        <v>11.530900000000001</v>
      </c>
      <c r="J6" s="6">
        <f>IF(ISBLANK('Phase CEMS PM Concentrations'!J6),"",'Phase CEMS PM Concentrations'!J6)</f>
        <v>1212.32</v>
      </c>
      <c r="K6" s="9">
        <f>IF(ISBLANK('Phase CEMS PM Concentrations'!K6),"",'Phase CEMS PM Concentrations'!K6)</f>
        <v>9.6858500000000003</v>
      </c>
      <c r="L6" s="28">
        <f>IF(ISBLANK('Phase CEMS PM Concentrations'!L6),"",'Phase CEMS PM Concentrations'!L6)</f>
        <v>37.804499999999997</v>
      </c>
      <c r="M6" s="9">
        <f>IF(ISBLANK('Phase CEMS PM Concentrations'!M6),"",'Phase CEMS PM Concentrations'!M6)</f>
        <v>17.428899999999999</v>
      </c>
      <c r="N6" s="9">
        <f>IF(ISBLANK('Phase CEMS PM Concentrations'!N6),"",'Phase CEMS PM Concentrations'!N6)</f>
        <v>0.79183700000000001</v>
      </c>
      <c r="O6" s="9">
        <f>IF(ISBLANK('Phase CEMS PM Concentrations'!O6),"",'Phase CEMS PM Concentrations'!O6)</f>
        <v>0.730186</v>
      </c>
      <c r="P6" s="109">
        <f t="shared" si="0"/>
        <v>0.46102712640029625</v>
      </c>
      <c r="Q6" s="68">
        <f>(G6-Backgrounds!$G$34)/(G6-Backgrounds!$G$34 + 'Phase CEMS VOC Concentration'!H6 - Backgrounds!$H$34)</f>
        <v>0.99552302618282495</v>
      </c>
      <c r="R6" s="68">
        <f>(J6-Backgrounds!$J$34)/(J6-Backgrounds!$J$34 + 'Phase CEMS VOC Concentration'!K6 - Backgrounds!$L$34)</f>
        <v>0.98591861563258443</v>
      </c>
      <c r="T6" s="76" t="s">
        <v>537</v>
      </c>
      <c r="U6" s="76" t="s">
        <v>537</v>
      </c>
      <c r="V6" s="76" t="s">
        <v>537</v>
      </c>
      <c r="W6" s="76" t="s">
        <v>537</v>
      </c>
      <c r="X6" s="76" t="s">
        <v>537</v>
      </c>
      <c r="Y6" s="76" t="s">
        <v>541</v>
      </c>
      <c r="Z6" s="76" t="s">
        <v>537</v>
      </c>
      <c r="AA6" s="76" t="s">
        <v>537</v>
      </c>
      <c r="AB6" s="76" t="s">
        <v>537</v>
      </c>
      <c r="AC6" s="76" t="s">
        <v>542</v>
      </c>
      <c r="AD6" s="76" t="s">
        <v>543</v>
      </c>
      <c r="AE6" s="2"/>
      <c r="AF6" s="2"/>
      <c r="AG6" s="2"/>
    </row>
    <row r="7" spans="1:75" ht="15" customHeight="1">
      <c r="A7" s="20">
        <f>IF(ISBLANK('Phase CEMS PM Concentrations'!A7),"",'Phase CEMS PM Concentrations'!A7)</f>
        <v>44313</v>
      </c>
      <c r="B7" s="20" t="str">
        <f>IF(ISBLANK('Phase CEMS PM Concentrations'!B7),"",'Phase CEMS PM Concentrations'!B7)</f>
        <v>BK Princess</v>
      </c>
      <c r="C7" s="20" t="str">
        <f>IF(ISBLANK('Phase CEMS PM Concentrations'!C7),"",'Phase CEMS PM Concentrations'!C7)</f>
        <v>Wet spruce</v>
      </c>
      <c r="D7" s="20" t="str">
        <f>IF(ISBLANK('Phase CEMS PM Concentrations'!D7),"",'Phase CEMS PM Concentrations'!D7)</f>
        <v>Startup</v>
      </c>
      <c r="E7" s="22">
        <f>IF(ISBLANK('Phase CEMS PM Concentrations'!E7),"",'Phase CEMS PM Concentrations'!E7)</f>
        <v>44313.375</v>
      </c>
      <c r="F7" s="22">
        <f>IF(ISBLANK('Phase CEMS PM Concentrations'!F7),"",'Phase CEMS PM Concentrations'!F7)</f>
        <v>44313.390972222223</v>
      </c>
      <c r="G7" s="133">
        <f>IF(ISBLANK('Phase CEMS PM Concentrations'!G7),"",'Phase CEMS PM Concentrations'!G7)</f>
        <v>9.2831299999999999</v>
      </c>
      <c r="H7" s="134">
        <f>IF(ISBLANK('Phase CEMS PM Concentrations'!H7),"",'Phase CEMS PM Concentrations'!H7)</f>
        <v>0.69356300000000004</v>
      </c>
      <c r="I7" s="134">
        <f>IF(ISBLANK('Phase CEMS PM Concentrations'!I7),"",'Phase CEMS PM Concentrations'!I7)</f>
        <v>11.329800000000001</v>
      </c>
      <c r="J7" s="6">
        <f>IF(ISBLANK('Phase CEMS PM Concentrations'!J7),"",'Phase CEMS PM Concentrations'!J7)</f>
        <v>2446.66</v>
      </c>
      <c r="K7" s="9">
        <f>IF(ISBLANK('Phase CEMS PM Concentrations'!K7),"",'Phase CEMS PM Concentrations'!K7)</f>
        <v>113.197</v>
      </c>
      <c r="L7" s="9">
        <f>IF(ISBLANK('Phase CEMS PM Concentrations'!L7),"",'Phase CEMS PM Concentrations'!L7)</f>
        <v>60.165399999999998</v>
      </c>
      <c r="M7" s="9"/>
      <c r="N7" s="9">
        <f>IF(ISBLANK('Phase CEMS PM Concentrations'!N7),"",'Phase CEMS PM Concentrations'!N7)</f>
        <v>1.8718999999999999</v>
      </c>
      <c r="O7" s="9">
        <f>IF(ISBLANK('Phase CEMS PM Concentrations'!O7),"",'Phase CEMS PM Concentrations'!O7)</f>
        <v>1.7026600000000001</v>
      </c>
      <c r="P7" s="9"/>
      <c r="Q7" s="68">
        <f>(G7-Backgrounds!$G$34)/(G7-Backgrounds!$G$34 + 'Phase CEMS VOC Concentration'!H7 - Backgrounds!$H$34)</f>
        <v>0.93080482229641137</v>
      </c>
      <c r="R7" s="68">
        <f>(J7-Backgrounds!$J$34)/(J7-Backgrounds!$J$34 + 'Phase CEMS VOC Concentration'!K7 - Backgrounds!$L$34)</f>
        <v>0.94529692327697812</v>
      </c>
      <c r="T7" s="76" t="s">
        <v>537</v>
      </c>
      <c r="U7" s="76" t="s">
        <v>537</v>
      </c>
      <c r="V7" s="76" t="s">
        <v>537</v>
      </c>
      <c r="W7" s="76" t="s">
        <v>537</v>
      </c>
      <c r="X7" s="76" t="s">
        <v>537</v>
      </c>
      <c r="Y7" s="76" t="s">
        <v>537</v>
      </c>
      <c r="Z7" s="76" t="s">
        <v>544</v>
      </c>
      <c r="AA7" s="76" t="s">
        <v>537</v>
      </c>
      <c r="AB7" s="76" t="s">
        <v>537</v>
      </c>
      <c r="AC7" s="76" t="s">
        <v>537</v>
      </c>
      <c r="AD7" s="76" t="s">
        <v>537</v>
      </c>
      <c r="AE7" s="2"/>
      <c r="AF7" s="2"/>
      <c r="AG7" s="2"/>
    </row>
    <row r="8" spans="1:75" ht="15" customHeight="1">
      <c r="A8" s="20">
        <f>IF(ISBLANK('Phase CEMS PM Concentrations'!A8),"",'Phase CEMS PM Concentrations'!A8)</f>
        <v>44313</v>
      </c>
      <c r="B8" s="20" t="str">
        <f>IF(ISBLANK('Phase CEMS PM Concentrations'!B8),"",'Phase CEMS PM Concentrations'!B8)</f>
        <v>BK Princess</v>
      </c>
      <c r="C8" s="20" t="str">
        <f>IF(ISBLANK('Phase CEMS PM Concentrations'!C8),"",'Phase CEMS PM Concentrations'!C8)</f>
        <v>Wet spruce</v>
      </c>
      <c r="D8" s="20" t="str">
        <f>IF(ISBLANK('Phase CEMS PM Concentrations'!D8),"",'Phase CEMS PM Concentrations'!D8)</f>
        <v>Low</v>
      </c>
      <c r="E8" s="22">
        <f>IF(ISBLANK('Phase CEMS PM Concentrations'!E8),"",'Phase CEMS PM Concentrations'!E8)</f>
        <v>44313.392361111109</v>
      </c>
      <c r="F8" s="22">
        <f>IF(ISBLANK('Phase CEMS PM Concentrations'!F8),"",'Phase CEMS PM Concentrations'!F8)</f>
        <v>44313.677083333336</v>
      </c>
      <c r="G8" s="133">
        <f>IF(ISBLANK('Phase CEMS PM Concentrations'!G8),"",'Phase CEMS PM Concentrations'!G8)</f>
        <v>10.412000000000001</v>
      </c>
      <c r="H8" s="134">
        <f>IF(ISBLANK('Phase CEMS PM Concentrations'!H8),"",'Phase CEMS PM Concentrations'!H8)</f>
        <v>0.14951300000000001</v>
      </c>
      <c r="I8" s="134">
        <f>IF(ISBLANK('Phase CEMS PM Concentrations'!I8),"",'Phase CEMS PM Concentrations'!I8)</f>
        <v>10.3269</v>
      </c>
      <c r="J8" s="6">
        <f>IF(ISBLANK('Phase CEMS PM Concentrations'!J8),"",'Phase CEMS PM Concentrations'!J8)</f>
        <v>1026.22</v>
      </c>
      <c r="K8" s="9">
        <f>IF(ISBLANK('Phase CEMS PM Concentrations'!K8),"",'Phase CEMS PM Concentrations'!K8)</f>
        <v>16.2255</v>
      </c>
      <c r="L8" s="9">
        <f>IF(ISBLANK('Phase CEMS PM Concentrations'!L8),"",'Phase CEMS PM Concentrations'!L8)</f>
        <v>41.438800000000001</v>
      </c>
      <c r="M8" s="9"/>
      <c r="N8" s="9">
        <f>IF(ISBLANK('Phase CEMS PM Concentrations'!N8),"",'Phase CEMS PM Concentrations'!N8)</f>
        <v>0.61162899999999998</v>
      </c>
      <c r="O8" s="9">
        <f>IF(ISBLANK('Phase CEMS PM Concentrations'!O8),"",'Phase CEMS PM Concentrations'!O8)</f>
        <v>0.58778699999999995</v>
      </c>
      <c r="P8" s="9"/>
      <c r="Q8" s="68">
        <f>(G8-Backgrounds!$G$34)/(G8-Backgrounds!$G$34 + 'Phase CEMS VOC Concentration'!H8 - Backgrounds!$H$34)</f>
        <v>0.98666680868298262</v>
      </c>
      <c r="R8" s="68">
        <f>(J8-Backgrounds!$J$34)/(J8-Backgrounds!$J$34 + 'Phase CEMS VOC Concentration'!K8 - Backgrounds!$L$34)</f>
        <v>0.96992550084112406</v>
      </c>
      <c r="T8" s="76" t="s">
        <v>537</v>
      </c>
      <c r="U8" s="76" t="s">
        <v>537</v>
      </c>
      <c r="V8" s="76" t="s">
        <v>537</v>
      </c>
      <c r="W8" s="76" t="s">
        <v>537</v>
      </c>
      <c r="X8" s="76" t="s">
        <v>537</v>
      </c>
      <c r="Y8" s="76" t="s">
        <v>537</v>
      </c>
      <c r="Z8" s="76" t="s">
        <v>544</v>
      </c>
      <c r="AA8" s="76" t="s">
        <v>537</v>
      </c>
      <c r="AB8" s="76" t="s">
        <v>537</v>
      </c>
      <c r="AC8" s="76" t="s">
        <v>537</v>
      </c>
      <c r="AD8" s="76" t="s">
        <v>537</v>
      </c>
      <c r="AE8" s="2"/>
      <c r="AF8" s="2"/>
      <c r="AG8" s="2"/>
    </row>
    <row r="9" spans="1:75" ht="15" customHeight="1">
      <c r="A9" s="20">
        <f>IF(ISBLANK('Phase CEMS PM Concentrations'!A9),"",'Phase CEMS PM Concentrations'!A9)</f>
        <v>44314</v>
      </c>
      <c r="B9" s="20" t="str">
        <f>IF(ISBLANK('Phase CEMS PM Concentrations'!B9),"",'Phase CEMS PM Concentrations'!B9)</f>
        <v>BK Princess</v>
      </c>
      <c r="C9" s="20" t="str">
        <f>IF(ISBLANK('Phase CEMS PM Concentrations'!C9),"",'Phase CEMS PM Concentrations'!C9)</f>
        <v>Wet spruce</v>
      </c>
      <c r="D9" s="20" t="str">
        <f>IF(ISBLANK('Phase CEMS PM Concentrations'!D9),"",'Phase CEMS PM Concentrations'!D9)</f>
        <v>Startup</v>
      </c>
      <c r="E9" s="22">
        <f>IF(ISBLANK('Phase CEMS PM Concentrations'!E9),"",'Phase CEMS PM Concentrations'!E9)</f>
        <v>44314.347222222219</v>
      </c>
      <c r="F9" s="22">
        <f>IF(ISBLANK('Phase CEMS PM Concentrations'!F9),"",'Phase CEMS PM Concentrations'!F9)</f>
        <v>44314.372916666667</v>
      </c>
      <c r="G9" s="133">
        <f>IF(ISBLANK('Phase CEMS PM Concentrations'!G9),"",'Phase CEMS PM Concentrations'!G9)</f>
        <v>9.8279899999999998</v>
      </c>
      <c r="H9" s="134">
        <f>IF(ISBLANK('Phase CEMS PM Concentrations'!H9),"",'Phase CEMS PM Concentrations'!H9)</f>
        <v>0.86146299999999998</v>
      </c>
      <c r="I9" s="134">
        <f>IF(ISBLANK('Phase CEMS PM Concentrations'!I9),"",'Phase CEMS PM Concentrations'!I9)</f>
        <v>10.2134</v>
      </c>
      <c r="J9" s="6">
        <f>IF(ISBLANK('Phase CEMS PM Concentrations'!J9),"",'Phase CEMS PM Concentrations'!J9)</f>
        <v>2110.34</v>
      </c>
      <c r="K9" s="9">
        <f>IF(ISBLANK('Phase CEMS PM Concentrations'!K9),"",'Phase CEMS PM Concentrations'!K9)</f>
        <v>129.34299999999999</v>
      </c>
      <c r="L9" s="9">
        <f>IF(ISBLANK('Phase CEMS PM Concentrations'!L9),"",'Phase CEMS PM Concentrations'!L9)</f>
        <v>102.325</v>
      </c>
      <c r="M9" s="9">
        <f>IF(ISBLANK('Phase CEMS PM Concentrations'!M9),"",'Phase CEMS PM Concentrations'!M9)</f>
        <v>17.104299999999999</v>
      </c>
      <c r="N9" s="9">
        <f>IF(ISBLANK('Phase CEMS PM Concentrations'!N9),"",'Phase CEMS PM Concentrations'!N9)</f>
        <v>1.5148200000000001</v>
      </c>
      <c r="O9" s="9">
        <f>IF(ISBLANK('Phase CEMS PM Concentrations'!O9),"",'Phase CEMS PM Concentrations'!O9)</f>
        <v>1.3513999999999999</v>
      </c>
      <c r="P9" s="109">
        <f t="shared" ref="P9:P24" si="1">M9/L9</f>
        <v>0.16715660884436842</v>
      </c>
      <c r="Q9" s="68">
        <f>(G9-Backgrounds!$G$34)/(G9-Backgrounds!$G$34 + 'Phase CEMS VOC Concentration'!H9 - Backgrounds!$H$34)</f>
        <v>0.91960903803436178</v>
      </c>
      <c r="R9" s="68">
        <f>(J9-Backgrounds!$J$34)/(J9-Backgrounds!$J$34 + 'Phase CEMS VOC Concentration'!K9 - Backgrounds!$L$34)</f>
        <v>0.92621758259291442</v>
      </c>
      <c r="T9" s="76" t="s">
        <v>537</v>
      </c>
      <c r="U9" s="76" t="s">
        <v>537</v>
      </c>
      <c r="V9" s="76" t="s">
        <v>537</v>
      </c>
      <c r="W9" s="76" t="s">
        <v>537</v>
      </c>
      <c r="X9" s="76" t="s">
        <v>537</v>
      </c>
      <c r="Y9" s="76" t="s">
        <v>537</v>
      </c>
      <c r="Z9" s="76" t="s">
        <v>537</v>
      </c>
      <c r="AA9" s="76" t="s">
        <v>537</v>
      </c>
      <c r="AB9" s="76" t="s">
        <v>537</v>
      </c>
      <c r="AC9" s="76" t="s">
        <v>537</v>
      </c>
      <c r="AD9" s="76" t="s">
        <v>537</v>
      </c>
      <c r="AE9" s="2"/>
      <c r="AF9" s="2"/>
      <c r="AG9" s="2"/>
    </row>
    <row r="10" spans="1:75" ht="15" customHeight="1">
      <c r="A10" s="20">
        <f>IF(ISBLANK('Phase CEMS PM Concentrations'!A10),"",'Phase CEMS PM Concentrations'!A10)</f>
        <v>44314</v>
      </c>
      <c r="B10" s="20" t="str">
        <f>IF(ISBLANK('Phase CEMS PM Concentrations'!B10),"",'Phase CEMS PM Concentrations'!B10)</f>
        <v>BK Princess</v>
      </c>
      <c r="C10" s="20" t="str">
        <f>IF(ISBLANK('Phase CEMS PM Concentrations'!C10),"",'Phase CEMS PM Concentrations'!C10)</f>
        <v>Wet spruce</v>
      </c>
      <c r="D10" s="20" t="str">
        <f>IF(ISBLANK('Phase CEMS PM Concentrations'!D10),"",'Phase CEMS PM Concentrations'!D10)</f>
        <v>Low</v>
      </c>
      <c r="E10" s="22">
        <f>IF(ISBLANK('Phase CEMS PM Concentrations'!E10),"",'Phase CEMS PM Concentrations'!E10)</f>
        <v>44314.374305555553</v>
      </c>
      <c r="F10" s="22">
        <f>IF(ISBLANK('Phase CEMS PM Concentrations'!F10),"",'Phase CEMS PM Concentrations'!F10)</f>
        <v>44314.656944444447</v>
      </c>
      <c r="G10" s="133">
        <f>IF(ISBLANK('Phase CEMS PM Concentrations'!G10),"",'Phase CEMS PM Concentrations'!G10)</f>
        <v>13.313800000000001</v>
      </c>
      <c r="H10" s="134">
        <f>IF(ISBLANK('Phase CEMS PM Concentrations'!H10),"",'Phase CEMS PM Concentrations'!H10)</f>
        <v>0.22678000000000001</v>
      </c>
      <c r="I10" s="134">
        <f>IF(ISBLANK('Phase CEMS PM Concentrations'!I10),"",'Phase CEMS PM Concentrations'!I10)</f>
        <v>6.8658799999999998</v>
      </c>
      <c r="J10" s="6">
        <f>IF(ISBLANK('Phase CEMS PM Concentrations'!J10),"",'Phase CEMS PM Concentrations'!J10)</f>
        <v>1071.55</v>
      </c>
      <c r="K10" s="9">
        <f>IF(ISBLANK('Phase CEMS PM Concentrations'!K10),"",'Phase CEMS PM Concentrations'!K10)</f>
        <v>16.0595</v>
      </c>
      <c r="L10" s="9">
        <f>IF(ISBLANK('Phase CEMS PM Concentrations'!L10),"",'Phase CEMS PM Concentrations'!L10)</f>
        <v>34.7819</v>
      </c>
      <c r="M10" s="9">
        <f>IF(ISBLANK('Phase CEMS PM Concentrations'!M10),"",'Phase CEMS PM Concentrations'!M10)</f>
        <v>18.836400000000001</v>
      </c>
      <c r="N10" s="9">
        <f>IF(ISBLANK('Phase CEMS PM Concentrations'!N10),"",'Phase CEMS PM Concentrations'!N10)</f>
        <v>0.49742900000000001</v>
      </c>
      <c r="O10" s="9">
        <f>IF(ISBLANK('Phase CEMS PM Concentrations'!O10),"",'Phase CEMS PM Concentrations'!O10)</f>
        <v>0.47233399999999998</v>
      </c>
      <c r="P10" s="109">
        <f t="shared" si="1"/>
        <v>0.54155753423476005</v>
      </c>
      <c r="Q10" s="68">
        <f>(G10-Backgrounds!$G$34)/(G10-Backgrounds!$G$34 + 'Phase CEMS VOC Concentration'!H10 - Backgrounds!$H$34)</f>
        <v>0.98387371951480307</v>
      </c>
      <c r="R10" s="68">
        <f>(J10-Backgrounds!$J$34)/(J10-Backgrounds!$J$34 + 'Phase CEMS VOC Concentration'!K10 - Backgrounds!$L$34)</f>
        <v>0.97241549172209463</v>
      </c>
      <c r="T10" s="76" t="s">
        <v>537</v>
      </c>
      <c r="U10" s="76" t="s">
        <v>537</v>
      </c>
      <c r="V10" s="76" t="s">
        <v>537</v>
      </c>
      <c r="W10" s="76" t="s">
        <v>537</v>
      </c>
      <c r="X10" s="76" t="s">
        <v>537</v>
      </c>
      <c r="Y10" s="76" t="s">
        <v>537</v>
      </c>
      <c r="Z10" s="76" t="s">
        <v>537</v>
      </c>
      <c r="AA10" s="76" t="s">
        <v>537</v>
      </c>
      <c r="AB10" s="76" t="s">
        <v>537</v>
      </c>
      <c r="AC10" s="76" t="s">
        <v>537</v>
      </c>
      <c r="AD10" s="76" t="s">
        <v>537</v>
      </c>
      <c r="AE10" s="2"/>
      <c r="AF10" s="2"/>
      <c r="AG10" s="2"/>
    </row>
    <row r="11" spans="1:75" ht="15" customHeight="1">
      <c r="A11" s="20">
        <f>IF(ISBLANK('Phase CEMS PM Concentrations'!A11),"",'Phase CEMS PM Concentrations'!A11)</f>
        <v>44315</v>
      </c>
      <c r="B11" s="20" t="str">
        <f>IF(ISBLANK('Phase CEMS PM Concentrations'!B11),"",'Phase CEMS PM Concentrations'!B11)</f>
        <v>BK Princess</v>
      </c>
      <c r="C11" s="20" t="str">
        <f>IF(ISBLANK('Phase CEMS PM Concentrations'!C11),"",'Phase CEMS PM Concentrations'!C11)</f>
        <v>Wet spruce</v>
      </c>
      <c r="D11" s="20" t="str">
        <f>IF(ISBLANK('Phase CEMS PM Concentrations'!D11),"",'Phase CEMS PM Concentrations'!D11)</f>
        <v>Startup</v>
      </c>
      <c r="E11" s="22">
        <f>IF(ISBLANK('Phase CEMS PM Concentrations'!E11),"",'Phase CEMS PM Concentrations'!E11)</f>
        <v>44315.34375</v>
      </c>
      <c r="F11" s="22">
        <f>IF(ISBLANK('Phase CEMS PM Concentrations'!F11),"",'Phase CEMS PM Concentrations'!F11)</f>
        <v>44315.359027777777</v>
      </c>
      <c r="G11" s="133">
        <f>IF(ISBLANK('Phase CEMS PM Concentrations'!G11),"",'Phase CEMS PM Concentrations'!G11)</f>
        <v>10.204499999999999</v>
      </c>
      <c r="H11" s="134">
        <f>IF(ISBLANK('Phase CEMS PM Concentrations'!H11),"",'Phase CEMS PM Concentrations'!H11)</f>
        <v>0.91110500000000005</v>
      </c>
      <c r="I11" s="134">
        <f>IF(ISBLANK('Phase CEMS PM Concentrations'!I11),"",'Phase CEMS PM Concentrations'!I11)</f>
        <v>9.7038700000000002</v>
      </c>
      <c r="J11" s="6">
        <f>IF(ISBLANK('Phase CEMS PM Concentrations'!J11),"",'Phase CEMS PM Concentrations'!J11)</f>
        <v>2960.46</v>
      </c>
      <c r="K11" s="9">
        <f>IF(ISBLANK('Phase CEMS PM Concentrations'!K11),"",'Phase CEMS PM Concentrations'!K11)</f>
        <v>172.25399999999999</v>
      </c>
      <c r="L11" s="9">
        <f>IF(ISBLANK('Phase CEMS PM Concentrations'!L11),"",'Phase CEMS PM Concentrations'!L11)</f>
        <v>87.4602</v>
      </c>
      <c r="M11" s="9">
        <f>IF(ISBLANK('Phase CEMS PM Concentrations'!M11),"",'Phase CEMS PM Concentrations'!M11)</f>
        <v>19.003599999999999</v>
      </c>
      <c r="N11" s="9">
        <f>IF(ISBLANK('Phase CEMS PM Concentrations'!N11),"",'Phase CEMS PM Concentrations'!N11)</f>
        <v>2.38347</v>
      </c>
      <c r="O11" s="9">
        <f>IF(ISBLANK('Phase CEMS PM Concentrations'!O11),"",'Phase CEMS PM Concentrations'!O11)</f>
        <v>2.2290199999999998</v>
      </c>
      <c r="P11" s="109">
        <f t="shared" si="1"/>
        <v>0.21728283264845036</v>
      </c>
      <c r="Q11" s="68">
        <f>(G11-Backgrounds!$G$34)/(G11-Backgrounds!$G$34 + 'Phase CEMS VOC Concentration'!H11 - Backgrounds!$H$34)</f>
        <v>0.91821280643745773</v>
      </c>
      <c r="R11" s="68">
        <f>(J11-Backgrounds!$J$34)/(J11-Backgrounds!$J$34 + 'Phase CEMS VOC Concentration'!K11 - Backgrounds!$L$34)</f>
        <v>0.93486517668914726</v>
      </c>
      <c r="T11" s="76" t="s">
        <v>537</v>
      </c>
      <c r="U11" s="76" t="s">
        <v>537</v>
      </c>
      <c r="V11" s="76" t="s">
        <v>537</v>
      </c>
      <c r="W11" s="76" t="s">
        <v>537</v>
      </c>
      <c r="X11" s="76" t="s">
        <v>537</v>
      </c>
      <c r="Y11" s="76" t="s">
        <v>537</v>
      </c>
      <c r="Z11" s="76" t="s">
        <v>537</v>
      </c>
      <c r="AA11" s="76" t="s">
        <v>537</v>
      </c>
      <c r="AB11" s="76" t="s">
        <v>537</v>
      </c>
      <c r="AC11" s="76" t="s">
        <v>537</v>
      </c>
      <c r="AD11" s="76" t="s">
        <v>537</v>
      </c>
      <c r="AE11" s="2"/>
      <c r="AF11" s="2"/>
      <c r="AG11" s="2"/>
    </row>
    <row r="12" spans="1:75" ht="15" customHeight="1">
      <c r="A12" s="20">
        <f>IF(ISBLANK('Phase CEMS PM Concentrations'!A12),"",'Phase CEMS PM Concentrations'!A12)</f>
        <v>44315</v>
      </c>
      <c r="B12" s="20" t="str">
        <f>IF(ISBLANK('Phase CEMS PM Concentrations'!B12),"",'Phase CEMS PM Concentrations'!B12)</f>
        <v>BK Princess</v>
      </c>
      <c r="C12" s="20" t="str">
        <f>IF(ISBLANK('Phase CEMS PM Concentrations'!C12),"",'Phase CEMS PM Concentrations'!C12)</f>
        <v>Wet spruce</v>
      </c>
      <c r="D12" s="20" t="str">
        <f>IF(ISBLANK('Phase CEMS PM Concentrations'!D12),"",'Phase CEMS PM Concentrations'!D12)</f>
        <v>Low</v>
      </c>
      <c r="E12" s="22">
        <f>IF(ISBLANK('Phase CEMS PM Concentrations'!E12),"",'Phase CEMS PM Concentrations'!E12)</f>
        <v>44315.361111111109</v>
      </c>
      <c r="F12" s="22">
        <f>IF(ISBLANK('Phase CEMS PM Concentrations'!F12),"",'Phase CEMS PM Concentrations'!F12)</f>
        <v>44315.736111111109</v>
      </c>
      <c r="G12" s="133">
        <f>IF(ISBLANK('Phase CEMS PM Concentrations'!G12),"",'Phase CEMS PM Concentrations'!G12)</f>
        <v>7.8219000000000003</v>
      </c>
      <c r="H12" s="134">
        <f>IF(ISBLANK('Phase CEMS PM Concentrations'!H12),"",'Phase CEMS PM Concentrations'!H12)</f>
        <v>0.342885</v>
      </c>
      <c r="I12" s="134">
        <f>IF(ISBLANK('Phase CEMS PM Concentrations'!I12),"",'Phase CEMS PM Concentrations'!I12)</f>
        <v>12.594900000000001</v>
      </c>
      <c r="J12" s="6">
        <f>IF(ISBLANK('Phase CEMS PM Concentrations'!J12),"",'Phase CEMS PM Concentrations'!J12)</f>
        <v>869.22299999999996</v>
      </c>
      <c r="K12" s="9">
        <f>IF(ISBLANK('Phase CEMS PM Concentrations'!K12),"",'Phase CEMS PM Concentrations'!K12)</f>
        <v>23.900300000000001</v>
      </c>
      <c r="L12" s="9">
        <f>IF(ISBLANK('Phase CEMS PM Concentrations'!L12),"",'Phase CEMS PM Concentrations'!L12)</f>
        <v>41.192100000000003</v>
      </c>
      <c r="M12" s="9">
        <f>IF(ISBLANK('Phase CEMS PM Concentrations'!M12),"",'Phase CEMS PM Concentrations'!M12)</f>
        <v>14.3291</v>
      </c>
      <c r="N12" s="9">
        <f>IF(ISBLANK('Phase CEMS PM Concentrations'!N12),"",'Phase CEMS PM Concentrations'!N12)</f>
        <v>0.32944600000000002</v>
      </c>
      <c r="O12" s="9">
        <f>IF(ISBLANK('Phase CEMS PM Concentrations'!O12),"",'Phase CEMS PM Concentrations'!O12)</f>
        <v>0.30631199999999997</v>
      </c>
      <c r="P12" s="109">
        <f t="shared" si="1"/>
        <v>0.34786039070598485</v>
      </c>
      <c r="Q12" s="68">
        <f>(G12-Backgrounds!$G$34)/(G12-Backgrounds!$G$34 + 'Phase CEMS VOC Concentration'!H12 - Backgrounds!$H$34)</f>
        <v>0.9587342455475959</v>
      </c>
      <c r="R12" s="68">
        <f>(J12-Backgrounds!$J$34)/(J12-Backgrounds!$J$34 + 'Phase CEMS VOC Concentration'!K12 - Backgrounds!$L$34)</f>
        <v>0.94079881963968814</v>
      </c>
      <c r="T12" s="76" t="s">
        <v>537</v>
      </c>
      <c r="U12" s="76" t="s">
        <v>537</v>
      </c>
      <c r="V12" s="76" t="s">
        <v>537</v>
      </c>
      <c r="W12" s="76" t="s">
        <v>537</v>
      </c>
      <c r="X12" s="76" t="s">
        <v>537</v>
      </c>
      <c r="Y12" s="76" t="s">
        <v>537</v>
      </c>
      <c r="Z12" s="76" t="s">
        <v>537</v>
      </c>
      <c r="AA12" s="76" t="s">
        <v>537</v>
      </c>
      <c r="AB12" s="76" t="s">
        <v>537</v>
      </c>
      <c r="AC12" s="76" t="s">
        <v>537</v>
      </c>
      <c r="AD12" s="76" t="s">
        <v>537</v>
      </c>
      <c r="AE12" s="2"/>
      <c r="AF12" s="2"/>
      <c r="AG12" s="2"/>
    </row>
    <row r="13" spans="1:75" ht="15" customHeight="1">
      <c r="A13" s="20">
        <f>IF(ISBLANK('Phase CEMS PM Concentrations'!A13),"",'Phase CEMS PM Concentrations'!A13)</f>
        <v>44326</v>
      </c>
      <c r="B13" s="20" t="str">
        <f>IF(ISBLANK('Phase CEMS PM Concentrations'!B13),"",'Phase CEMS PM Concentrations'!B13)</f>
        <v>BK Princess</v>
      </c>
      <c r="C13" s="20" t="str">
        <f>IF(ISBLANK('Phase CEMS PM Concentrations'!C13),"",'Phase CEMS PM Concentrations'!C13)</f>
        <v>Wet spruce</v>
      </c>
      <c r="D13" s="20" t="str">
        <f>IF(ISBLANK('Phase CEMS PM Concentrations'!D13),"",'Phase CEMS PM Concentrations'!D13)</f>
        <v>Startup</v>
      </c>
      <c r="E13" s="22">
        <f>IF(ISBLANK('Phase CEMS PM Concentrations'!E13),"",'Phase CEMS PM Concentrations'!E13)</f>
        <v>44326.392361111109</v>
      </c>
      <c r="F13" s="22">
        <f>IF(ISBLANK('Phase CEMS PM Concentrations'!F13),"",'Phase CEMS PM Concentrations'!F13)</f>
        <v>44326.410416666666</v>
      </c>
      <c r="G13" s="133">
        <f>IF(ISBLANK('Phase CEMS PM Concentrations'!G13),"",'Phase CEMS PM Concentrations'!G13)</f>
        <v>8.1367499999999993</v>
      </c>
      <c r="H13" s="134">
        <f>IF(ISBLANK('Phase CEMS PM Concentrations'!H13),"",'Phase CEMS PM Concentrations'!H13)</f>
        <v>0.73320300000000005</v>
      </c>
      <c r="I13" s="134">
        <f>IF(ISBLANK('Phase CEMS PM Concentrations'!I13),"",'Phase CEMS PM Concentrations'!I13)</f>
        <v>12.184200000000001</v>
      </c>
      <c r="J13" s="6">
        <f>IF(ISBLANK('Phase CEMS PM Concentrations'!J13),"",'Phase CEMS PM Concentrations'!J13)</f>
        <v>2196.7399999999998</v>
      </c>
      <c r="K13" s="9">
        <f>IF(ISBLANK('Phase CEMS PM Concentrations'!K13),"",'Phase CEMS PM Concentrations'!K13)</f>
        <v>122.55</v>
      </c>
      <c r="L13" s="9">
        <f>IF(ISBLANK('Phase CEMS PM Concentrations'!L13),"",'Phase CEMS PM Concentrations'!L13)</f>
        <v>88.530100000000004</v>
      </c>
      <c r="M13" s="9">
        <f>IF(ISBLANK('Phase CEMS PM Concentrations'!M13),"",'Phase CEMS PM Concentrations'!M13)</f>
        <v>15.2233</v>
      </c>
      <c r="N13" s="9">
        <f>IF(ISBLANK('Phase CEMS PM Concentrations'!N13),"",'Phase CEMS PM Concentrations'!N13)</f>
        <v>1.36351</v>
      </c>
      <c r="O13" s="9">
        <f>IF(ISBLANK('Phase CEMS PM Concentrations'!O13),"",'Phase CEMS PM Concentrations'!O13)</f>
        <v>1.25169</v>
      </c>
      <c r="P13" s="109">
        <f t="shared" si="1"/>
        <v>0.1719562047258503</v>
      </c>
      <c r="Q13" s="68">
        <f>(G13-Backgrounds!$G$34)/(G13-Backgrounds!$G$34 + 'Phase CEMS VOC Concentration'!H13 - Backgrounds!$H$34)</f>
        <v>0.91755576614796919</v>
      </c>
      <c r="R13" s="68">
        <f>(J13-Backgrounds!$J$34)/(J13-Backgrounds!$J$34 + 'Phase CEMS VOC Concentration'!K13 - Backgrounds!$L$34)</f>
        <v>0.9330872463059352</v>
      </c>
      <c r="T13" s="76" t="s">
        <v>537</v>
      </c>
      <c r="U13" s="76" t="s">
        <v>537</v>
      </c>
      <c r="V13" s="76" t="s">
        <v>537</v>
      </c>
      <c r="W13" s="76" t="s">
        <v>537</v>
      </c>
      <c r="X13" s="76" t="s">
        <v>537</v>
      </c>
      <c r="Y13" s="76" t="s">
        <v>537</v>
      </c>
      <c r="Z13" s="76" t="s">
        <v>537</v>
      </c>
      <c r="AA13" s="76" t="s">
        <v>537</v>
      </c>
      <c r="AB13" s="76" t="s">
        <v>537</v>
      </c>
      <c r="AC13" s="76" t="s">
        <v>537</v>
      </c>
      <c r="AD13" s="76" t="s">
        <v>537</v>
      </c>
      <c r="AE13" s="2"/>
      <c r="AF13" s="2"/>
      <c r="AG13" s="2"/>
    </row>
    <row r="14" spans="1:75" ht="15" customHeight="1">
      <c r="A14" s="20">
        <f>IF(ISBLANK('Phase CEMS PM Concentrations'!A14),"",'Phase CEMS PM Concentrations'!A14)</f>
        <v>44326</v>
      </c>
      <c r="B14" s="20" t="str">
        <f>IF(ISBLANK('Phase CEMS PM Concentrations'!B14),"",'Phase CEMS PM Concentrations'!B14)</f>
        <v>BK Princess</v>
      </c>
      <c r="C14" s="20" t="str">
        <f>IF(ISBLANK('Phase CEMS PM Concentrations'!C14),"",'Phase CEMS PM Concentrations'!C14)</f>
        <v>Wet spruce</v>
      </c>
      <c r="D14" s="20" t="str">
        <f>IF(ISBLANK('Phase CEMS PM Concentrations'!D14),"",'Phase CEMS PM Concentrations'!D14)</f>
        <v>High</v>
      </c>
      <c r="E14" s="22">
        <f>IF(ISBLANK('Phase CEMS PM Concentrations'!E14),"",'Phase CEMS PM Concentrations'!E14)</f>
        <v>44326.411805555559</v>
      </c>
      <c r="F14" s="22">
        <f>IF(ISBLANK('Phase CEMS PM Concentrations'!F14),"",'Phase CEMS PM Concentrations'!F14)</f>
        <v>44326.559374999997</v>
      </c>
      <c r="G14" s="133">
        <f>IF(ISBLANK('Phase CEMS PM Concentrations'!G14),"",'Phase CEMS PM Concentrations'!G14)</f>
        <v>9.8026800000000005</v>
      </c>
      <c r="H14" s="134">
        <f>IF(ISBLANK('Phase CEMS PM Concentrations'!H14),"",'Phase CEMS PM Concentrations'!H14)</f>
        <v>0.27855099999999999</v>
      </c>
      <c r="I14" s="134">
        <f>IF(ISBLANK('Phase CEMS PM Concentrations'!I14),"",'Phase CEMS PM Concentrations'!I14)</f>
        <v>10.9986</v>
      </c>
      <c r="J14" s="6">
        <f>IF(ISBLANK('Phase CEMS PM Concentrations'!J14),"",'Phase CEMS PM Concentrations'!J14)</f>
        <v>1308.45</v>
      </c>
      <c r="K14" s="9">
        <f>IF(ISBLANK('Phase CEMS PM Concentrations'!K14),"",'Phase CEMS PM Concentrations'!K14)</f>
        <v>29.339700000000001</v>
      </c>
      <c r="L14" s="9">
        <f>IF(ISBLANK('Phase CEMS PM Concentrations'!L14),"",'Phase CEMS PM Concentrations'!L14)</f>
        <v>57.589399999999998</v>
      </c>
      <c r="M14" s="9">
        <f>IF(ISBLANK('Phase CEMS PM Concentrations'!M14),"",'Phase CEMS PM Concentrations'!M14)</f>
        <v>20.924399999999999</v>
      </c>
      <c r="N14" s="9">
        <f>IF(ISBLANK('Phase CEMS PM Concentrations'!N14),"",'Phase CEMS PM Concentrations'!N14)</f>
        <v>0.69858500000000001</v>
      </c>
      <c r="O14" s="9">
        <f>IF(ISBLANK('Phase CEMS PM Concentrations'!O14),"",'Phase CEMS PM Concentrations'!O14)</f>
        <v>0.67133500000000002</v>
      </c>
      <c r="P14" s="109">
        <f t="shared" si="1"/>
        <v>0.36333769756239864</v>
      </c>
      <c r="Q14" s="68">
        <f>(G14-Backgrounds!$G$34)/(G14-Backgrounds!$G$34 + 'Phase CEMS VOC Concentration'!H14 - Backgrounds!$H$34)</f>
        <v>0.97309998895205485</v>
      </c>
      <c r="R14" s="68">
        <f>(J14-Backgrounds!$J$34)/(J14-Backgrounds!$J$34 + 'Phase CEMS VOC Concentration'!K14 - Backgrounds!$L$34)</f>
        <v>0.96501810150305467</v>
      </c>
      <c r="T14" s="76" t="s">
        <v>537</v>
      </c>
      <c r="U14" s="76" t="s">
        <v>537</v>
      </c>
      <c r="V14" s="76" t="s">
        <v>537</v>
      </c>
      <c r="W14" s="76" t="s">
        <v>537</v>
      </c>
      <c r="X14" s="76" t="s">
        <v>537</v>
      </c>
      <c r="Y14" s="76" t="s">
        <v>537</v>
      </c>
      <c r="Z14" s="76" t="s">
        <v>537</v>
      </c>
      <c r="AA14" s="76" t="s">
        <v>537</v>
      </c>
      <c r="AB14" s="76" t="s">
        <v>537</v>
      </c>
      <c r="AC14" s="76" t="s">
        <v>537</v>
      </c>
      <c r="AD14" s="76" t="s">
        <v>537</v>
      </c>
      <c r="AE14" s="2"/>
      <c r="AF14" s="2"/>
      <c r="AG14" s="2"/>
    </row>
    <row r="15" spans="1:75" ht="15" customHeight="1">
      <c r="A15" s="20">
        <f>IF(ISBLANK('Phase CEMS PM Concentrations'!A15),"",'Phase CEMS PM Concentrations'!A15)</f>
        <v>44336</v>
      </c>
      <c r="B15" s="20" t="str">
        <f>IF(ISBLANK('Phase CEMS PM Concentrations'!B15),"",'Phase CEMS PM Concentrations'!B15)</f>
        <v>BK Princess</v>
      </c>
      <c r="C15" s="20" t="str">
        <f>IF(ISBLANK('Phase CEMS PM Concentrations'!C15),"",'Phase CEMS PM Concentrations'!C15)</f>
        <v>Wet birch</v>
      </c>
      <c r="D15" s="20" t="str">
        <f>IF(ISBLANK('Phase CEMS PM Concentrations'!D15),"",'Phase CEMS PM Concentrations'!D15)</f>
        <v>Startup</v>
      </c>
      <c r="E15" s="22">
        <f>IF(ISBLANK('Phase CEMS PM Concentrations'!E15),"",'Phase CEMS PM Concentrations'!E15)</f>
        <v>44336.40347222222</v>
      </c>
      <c r="F15" s="22">
        <f>IF(ISBLANK('Phase CEMS PM Concentrations'!F15),"",'Phase CEMS PM Concentrations'!F15)</f>
        <v>44336.425000000003</v>
      </c>
      <c r="G15" s="133">
        <f>IF(ISBLANK('Phase CEMS PM Concentrations'!G15),"",'Phase CEMS PM Concentrations'!G15)</f>
        <v>7.4173400000000003</v>
      </c>
      <c r="H15" s="134">
        <f>IF(ISBLANK('Phase CEMS PM Concentrations'!H15),"",'Phase CEMS PM Concentrations'!H15)</f>
        <v>0.45088099999999998</v>
      </c>
      <c r="I15" s="134">
        <f>IF(ISBLANK('Phase CEMS PM Concentrations'!I15),"",'Phase CEMS PM Concentrations'!I15)</f>
        <v>12.905200000000001</v>
      </c>
      <c r="J15" s="6">
        <f>IF(ISBLANK('Phase CEMS PM Concentrations'!J15),"",'Phase CEMS PM Concentrations'!J15)</f>
        <v>1915.29</v>
      </c>
      <c r="K15" s="9">
        <f>IF(ISBLANK('Phase CEMS PM Concentrations'!K15),"",'Phase CEMS PM Concentrations'!K15)</f>
        <v>72.337699999999998</v>
      </c>
      <c r="L15" s="9">
        <f>IF(ISBLANK('Phase CEMS PM Concentrations'!L15),"",'Phase CEMS PM Concentrations'!L15)</f>
        <v>69.896900000000002</v>
      </c>
      <c r="M15" s="9">
        <f>IF(ISBLANK('Phase CEMS PM Concentrations'!M15),"",'Phase CEMS PM Concentrations'!M15)</f>
        <v>10.269399999999999</v>
      </c>
      <c r="N15" s="9">
        <f>IF(ISBLANK('Phase CEMS PM Concentrations'!N15),"",'Phase CEMS PM Concentrations'!N15)</f>
        <v>1.28125</v>
      </c>
      <c r="O15" s="9">
        <f>IF(ISBLANK('Phase CEMS PM Concentrations'!O15),"",'Phase CEMS PM Concentrations'!O15)</f>
        <v>1.1903999999999999</v>
      </c>
      <c r="P15" s="109">
        <f t="shared" si="1"/>
        <v>0.14692210956422957</v>
      </c>
      <c r="Q15" s="68">
        <f>(G15-Backgrounds!$G$34)/(G15-Backgrounds!$G$34 + 'Phase CEMS VOC Concentration'!H15 - Backgrounds!$H$34)</f>
        <v>0.94326070873671974</v>
      </c>
      <c r="R15" s="68">
        <f>(J15-Backgrounds!$J$34)/(J15-Backgrounds!$J$34 + 'Phase CEMS VOC Concentration'!K15 - Backgrounds!$L$34)</f>
        <v>0.95161665900105985</v>
      </c>
      <c r="T15" s="76" t="s">
        <v>537</v>
      </c>
      <c r="U15" s="76" t="s">
        <v>537</v>
      </c>
      <c r="V15" s="76" t="s">
        <v>537</v>
      </c>
      <c r="W15" s="76" t="s">
        <v>537</v>
      </c>
      <c r="X15" s="76" t="s">
        <v>537</v>
      </c>
      <c r="Y15" s="76" t="s">
        <v>537</v>
      </c>
      <c r="Z15" s="76" t="s">
        <v>537</v>
      </c>
      <c r="AA15" s="76" t="s">
        <v>537</v>
      </c>
      <c r="AB15" s="76" t="s">
        <v>537</v>
      </c>
      <c r="AC15" s="76" t="s">
        <v>537</v>
      </c>
      <c r="AD15" s="76" t="s">
        <v>537</v>
      </c>
      <c r="AE15" s="2"/>
      <c r="AF15" s="2"/>
      <c r="AG15" s="2"/>
    </row>
    <row r="16" spans="1:75" ht="15" customHeight="1">
      <c r="A16" s="20">
        <f>IF(ISBLANK('Phase CEMS PM Concentrations'!A16),"",'Phase CEMS PM Concentrations'!A16)</f>
        <v>44336</v>
      </c>
      <c r="B16" s="20" t="str">
        <f>IF(ISBLANK('Phase CEMS PM Concentrations'!B16),"",'Phase CEMS PM Concentrations'!B16)</f>
        <v>BK Princess</v>
      </c>
      <c r="C16" s="20" t="str">
        <f>IF(ISBLANK('Phase CEMS PM Concentrations'!C16),"",'Phase CEMS PM Concentrations'!C16)</f>
        <v>Wet birch</v>
      </c>
      <c r="D16" s="20" t="str">
        <f>IF(ISBLANK('Phase CEMS PM Concentrations'!D16),"",'Phase CEMS PM Concentrations'!D16)</f>
        <v>High</v>
      </c>
      <c r="E16" s="22">
        <f>IF(ISBLANK('Phase CEMS PM Concentrations'!E16),"",'Phase CEMS PM Concentrations'!E16)</f>
        <v>44336.426388888889</v>
      </c>
      <c r="F16" s="22">
        <f>IF(ISBLANK('Phase CEMS PM Concentrations'!F16),"",'Phase CEMS PM Concentrations'!F16)</f>
        <v>44336.568055555559</v>
      </c>
      <c r="G16" s="133">
        <f>IF(ISBLANK('Phase CEMS PM Concentrations'!G16),"",'Phase CEMS PM Concentrations'!G16)</f>
        <v>14.1175</v>
      </c>
      <c r="H16" s="134">
        <f>IF(ISBLANK('Phase CEMS PM Concentrations'!H16),"",'Phase CEMS PM Concentrations'!H16)</f>
        <v>0.16241900000000001</v>
      </c>
      <c r="I16" s="134">
        <f>IF(ISBLANK('Phase CEMS PM Concentrations'!I16),"",'Phase CEMS PM Concentrations'!I16)</f>
        <v>6.3025500000000001</v>
      </c>
      <c r="J16" s="6">
        <f>IF(ISBLANK('Phase CEMS PM Concentrations'!J16),"",'Phase CEMS PM Concentrations'!J16)</f>
        <v>1540</v>
      </c>
      <c r="K16" s="9">
        <f>IF(ISBLANK('Phase CEMS PM Concentrations'!K16),"",'Phase CEMS PM Concentrations'!K16)</f>
        <v>20.6861</v>
      </c>
      <c r="L16" s="9">
        <f>IF(ISBLANK('Phase CEMS PM Concentrations'!L16),"",'Phase CEMS PM Concentrations'!L16)</f>
        <v>26.247399999999999</v>
      </c>
      <c r="M16" s="9">
        <f>IF(ISBLANK('Phase CEMS PM Concentrations'!M16),"",'Phase CEMS PM Concentrations'!M16)</f>
        <v>12.982699999999999</v>
      </c>
      <c r="N16" s="9">
        <f>IF(ISBLANK('Phase CEMS PM Concentrations'!N16),"",'Phase CEMS PM Concentrations'!N16)</f>
        <v>1.16876</v>
      </c>
      <c r="O16" s="9">
        <f>IF(ISBLANK('Phase CEMS PM Concentrations'!O16),"",'Phase CEMS PM Concentrations'!O16)</f>
        <v>1.1338600000000001</v>
      </c>
      <c r="P16" s="109">
        <f t="shared" si="1"/>
        <v>0.49462803934865929</v>
      </c>
      <c r="Q16" s="68">
        <f>(G16-Backgrounds!$G$34)/(G16-Backgrounds!$G$34 + 'Phase CEMS VOC Concentration'!H16 - Backgrounds!$H$34)</f>
        <v>0.9892526384753505</v>
      </c>
      <c r="R16" s="68">
        <f>(J16-Backgrounds!$J$34)/(J16-Backgrounds!$J$34 + 'Phase CEMS VOC Concentration'!K16 - Backgrounds!$L$34)</f>
        <v>0.98017688533294811</v>
      </c>
      <c r="T16" s="76" t="s">
        <v>537</v>
      </c>
      <c r="U16" s="76" t="s">
        <v>537</v>
      </c>
      <c r="V16" s="76" t="s">
        <v>537</v>
      </c>
      <c r="W16" s="76" t="s">
        <v>537</v>
      </c>
      <c r="X16" s="76" t="s">
        <v>537</v>
      </c>
      <c r="Y16" s="76" t="s">
        <v>537</v>
      </c>
      <c r="Z16" s="76" t="s">
        <v>537</v>
      </c>
      <c r="AA16" s="76" t="s">
        <v>537</v>
      </c>
      <c r="AB16" s="76" t="s">
        <v>537</v>
      </c>
      <c r="AC16" s="76" t="s">
        <v>537</v>
      </c>
      <c r="AD16" s="76" t="s">
        <v>537</v>
      </c>
      <c r="AE16" s="2"/>
      <c r="AF16" s="2"/>
      <c r="AG16" s="2"/>
    </row>
    <row r="17" spans="1:88" ht="15" customHeight="1">
      <c r="A17" s="20">
        <f>IF(ISBLANK('Phase CEMS PM Concentrations'!A17),"",'Phase CEMS PM Concentrations'!A17)</f>
        <v>44341</v>
      </c>
      <c r="B17" s="20" t="str">
        <f>IF(ISBLANK('Phase CEMS PM Concentrations'!B17),"",'Phase CEMS PM Concentrations'!B17)</f>
        <v>BK Princess</v>
      </c>
      <c r="C17" s="20" t="str">
        <f>IF(ISBLANK('Phase CEMS PM Concentrations'!C17),"",'Phase CEMS PM Concentrations'!C17)</f>
        <v>Wet birch</v>
      </c>
      <c r="D17" s="20" t="str">
        <f>IF(ISBLANK('Phase CEMS PM Concentrations'!D17),"",'Phase CEMS PM Concentrations'!D17)</f>
        <v>Startup</v>
      </c>
      <c r="E17" s="22">
        <f>IF(ISBLANK('Phase CEMS PM Concentrations'!E17),"",'Phase CEMS PM Concentrations'!E17)</f>
        <v>44341.361805555556</v>
      </c>
      <c r="F17" s="22">
        <f>IF(ISBLANK('Phase CEMS PM Concentrations'!F17),"",'Phase CEMS PM Concentrations'!F17)</f>
        <v>44341.381944444445</v>
      </c>
      <c r="G17" s="133">
        <f>IF(ISBLANK('Phase CEMS PM Concentrations'!G17),"",'Phase CEMS PM Concentrations'!G17)</f>
        <v>10.0703</v>
      </c>
      <c r="H17" s="134">
        <f>IF(ISBLANK('Phase CEMS PM Concentrations'!H17),"",'Phase CEMS PM Concentrations'!H17)</f>
        <v>1.26207</v>
      </c>
      <c r="I17" s="134">
        <f>IF(ISBLANK('Phase CEMS PM Concentrations'!I17),"",'Phase CEMS PM Concentrations'!I17)</f>
        <v>9.6920400000000004</v>
      </c>
      <c r="J17" s="6">
        <f>IF(ISBLANK('Phase CEMS PM Concentrations'!J17),"",'Phase CEMS PM Concentrations'!J17)</f>
        <v>2370.64</v>
      </c>
      <c r="K17" s="9">
        <f>IF(ISBLANK('Phase CEMS PM Concentrations'!K17),"",'Phase CEMS PM Concentrations'!K17)</f>
        <v>194.78700000000001</v>
      </c>
      <c r="L17" s="9">
        <f>IF(ISBLANK('Phase CEMS PM Concentrations'!L17),"",'Phase CEMS PM Concentrations'!L17)</f>
        <v>142.94900000000001</v>
      </c>
      <c r="M17" s="9">
        <f>IF(ISBLANK('Phase CEMS PM Concentrations'!M17),"",'Phase CEMS PM Concentrations'!M17)</f>
        <v>26.621700000000001</v>
      </c>
      <c r="N17" s="9">
        <f>IF(ISBLANK('Phase CEMS PM Concentrations'!N17),"",'Phase CEMS PM Concentrations'!N17)</f>
        <v>1.4583299999999999</v>
      </c>
      <c r="O17" s="9">
        <f>IF(ISBLANK('Phase CEMS PM Concentrations'!O17),"",'Phase CEMS PM Concentrations'!O17)</f>
        <v>1.3246199999999999</v>
      </c>
      <c r="P17" s="109">
        <f t="shared" si="1"/>
        <v>0.1862321527257973</v>
      </c>
      <c r="Q17" s="68">
        <f>(G17-Backgrounds!$G$34)/(G17-Backgrounds!$G$34 + 'Phase CEMS VOC Concentration'!H17 - Backgrounds!$H$34)</f>
        <v>0.88855077640717484</v>
      </c>
      <c r="R17" s="68">
        <f>(J17-Backgrounds!$J$34)/(J17-Backgrounds!$J$34 + 'Phase CEMS VOC Concentration'!K17 - Backgrounds!$L$34)</f>
        <v>0.906404103341233</v>
      </c>
      <c r="T17" s="76" t="s">
        <v>537</v>
      </c>
      <c r="U17" s="76" t="s">
        <v>537</v>
      </c>
      <c r="V17" s="76" t="s">
        <v>537</v>
      </c>
      <c r="W17" s="76" t="s">
        <v>537</v>
      </c>
      <c r="X17" s="76" t="s">
        <v>537</v>
      </c>
      <c r="Y17" s="76" t="s">
        <v>537</v>
      </c>
      <c r="Z17" s="76" t="s">
        <v>537</v>
      </c>
      <c r="AA17" s="76" t="s">
        <v>537</v>
      </c>
      <c r="AB17" s="76" t="s">
        <v>537</v>
      </c>
      <c r="AC17" s="76" t="s">
        <v>537</v>
      </c>
      <c r="AD17" s="76" t="s">
        <v>537</v>
      </c>
      <c r="AE17" s="2"/>
      <c r="AF17" s="2"/>
      <c r="AG17" s="2"/>
    </row>
    <row r="18" spans="1:88" ht="15" customHeight="1">
      <c r="A18" s="20">
        <f>IF(ISBLANK('Phase CEMS PM Concentrations'!A18),"",'Phase CEMS PM Concentrations'!A18)</f>
        <v>44341</v>
      </c>
      <c r="B18" s="20" t="str">
        <f>IF(ISBLANK('Phase CEMS PM Concentrations'!B18),"",'Phase CEMS PM Concentrations'!B18)</f>
        <v>BK Princess</v>
      </c>
      <c r="C18" s="20" t="str">
        <f>IF(ISBLANK('Phase CEMS PM Concentrations'!C18),"",'Phase CEMS PM Concentrations'!C18)</f>
        <v>Wet birch</v>
      </c>
      <c r="D18" s="20" t="str">
        <f>IF(ISBLANK('Phase CEMS PM Concentrations'!D18),"",'Phase CEMS PM Concentrations'!D18)</f>
        <v>Low</v>
      </c>
      <c r="E18" s="22">
        <f>IF(ISBLANK('Phase CEMS PM Concentrations'!E18),"",'Phase CEMS PM Concentrations'!E18)</f>
        <v>44341.383333333331</v>
      </c>
      <c r="F18" s="22">
        <f>IF(ISBLANK('Phase CEMS PM Concentrations'!F18),"",'Phase CEMS PM Concentrations'!F18)</f>
        <v>44341.73541666667</v>
      </c>
      <c r="G18" s="133">
        <f>IF(ISBLANK('Phase CEMS PM Concentrations'!G18),"",'Phase CEMS PM Concentrations'!G18)</f>
        <v>11.9307</v>
      </c>
      <c r="H18" s="134">
        <f>IF(ISBLANK('Phase CEMS PM Concentrations'!H18),"",'Phase CEMS PM Concentrations'!H18)</f>
        <v>8.1273499999999999E-2</v>
      </c>
      <c r="I18" s="134">
        <f>IF(ISBLANK('Phase CEMS PM Concentrations'!I18),"",'Phase CEMS PM Concentrations'!I18)</f>
        <v>8.5468100000000007</v>
      </c>
      <c r="J18" s="6">
        <f>IF(ISBLANK('Phase CEMS PM Concentrations'!J18),"",'Phase CEMS PM Concentrations'!J18)</f>
        <v>1072.73</v>
      </c>
      <c r="K18" s="9">
        <f>IF(ISBLANK('Phase CEMS PM Concentrations'!K18),"",'Phase CEMS PM Concentrations'!K18)</f>
        <v>4.9558999999999997</v>
      </c>
      <c r="L18" s="9">
        <f>IF(ISBLANK('Phase CEMS PM Concentrations'!L18),"",'Phase CEMS PM Concentrations'!L18)</f>
        <v>20.784500000000001</v>
      </c>
      <c r="M18" s="9">
        <f>IF(ISBLANK('Phase CEMS PM Concentrations'!M18),"",'Phase CEMS PM Concentrations'!M18)</f>
        <v>13.31</v>
      </c>
      <c r="N18" s="9">
        <f>IF(ISBLANK('Phase CEMS PM Concentrations'!N18),"",'Phase CEMS PM Concentrations'!N18)</f>
        <v>0.93400099999999997</v>
      </c>
      <c r="O18" s="9">
        <f>IF(ISBLANK('Phase CEMS PM Concentrations'!O18),"",'Phase CEMS PM Concentrations'!O18)</f>
        <v>0.90003100000000003</v>
      </c>
      <c r="P18" s="109">
        <f t="shared" si="1"/>
        <v>0.64038105318867422</v>
      </c>
      <c r="Q18" s="68">
        <f>(G18-Backgrounds!$G$34)/(G18-Backgrounds!$G$34 + 'Phase CEMS VOC Concentration'!H18 - Backgrounds!$H$34)</f>
        <v>0.99401769186414024</v>
      </c>
      <c r="R18" s="68">
        <f>(J18-Backgrounds!$J$34)/(J18-Backgrounds!$J$34 + 'Phase CEMS VOC Concentration'!K18 - Backgrounds!$L$34)</f>
        <v>0.99039809241601418</v>
      </c>
      <c r="T18" s="76" t="s">
        <v>537</v>
      </c>
      <c r="U18" s="76" t="s">
        <v>537</v>
      </c>
      <c r="V18" s="76" t="s">
        <v>537</v>
      </c>
      <c r="W18" s="76" t="s">
        <v>537</v>
      </c>
      <c r="X18" s="76" t="s">
        <v>537</v>
      </c>
      <c r="Y18" s="76" t="s">
        <v>537</v>
      </c>
      <c r="Z18" s="76" t="s">
        <v>537</v>
      </c>
      <c r="AA18" s="76" t="s">
        <v>537</v>
      </c>
      <c r="AB18" s="76" t="s">
        <v>537</v>
      </c>
      <c r="AC18" s="76" t="s">
        <v>537</v>
      </c>
      <c r="AD18" s="76" t="s">
        <v>537</v>
      </c>
      <c r="AE18" s="2"/>
      <c r="AF18" s="2"/>
      <c r="AG18" s="2"/>
    </row>
    <row r="19" spans="1:88" ht="15" customHeight="1">
      <c r="A19" s="20">
        <f>IF(ISBLANK('Phase CEMS PM Concentrations'!A19),"",'Phase CEMS PM Concentrations'!A19)</f>
        <v>44342</v>
      </c>
      <c r="B19" s="20" t="str">
        <f>IF(ISBLANK('Phase CEMS PM Concentrations'!B19),"",'Phase CEMS PM Concentrations'!B19)</f>
        <v>BK Princess</v>
      </c>
      <c r="C19" s="20" t="str">
        <f>IF(ISBLANK('Phase CEMS PM Concentrations'!C19),"",'Phase CEMS PM Concentrations'!C19)</f>
        <v>Wet birch</v>
      </c>
      <c r="D19" s="20" t="str">
        <f>IF(ISBLANK('Phase CEMS PM Concentrations'!D19),"",'Phase CEMS PM Concentrations'!D19)</f>
        <v>Startup</v>
      </c>
      <c r="E19" s="22">
        <f>IF(ISBLANK('Phase CEMS PM Concentrations'!E19),"",'Phase CEMS PM Concentrations'!E19)</f>
        <v>44342.388888888891</v>
      </c>
      <c r="F19" s="22">
        <f>IF(ISBLANK('Phase CEMS PM Concentrations'!F19),"",'Phase CEMS PM Concentrations'!F19)</f>
        <v>44342.416666666664</v>
      </c>
      <c r="G19" s="133">
        <f>IF(ISBLANK('Phase CEMS PM Concentrations'!G19),"",'Phase CEMS PM Concentrations'!G19)</f>
        <v>8.5236199999999993</v>
      </c>
      <c r="H19" s="134">
        <f>IF(ISBLANK('Phase CEMS PM Concentrations'!H19),"",'Phase CEMS PM Concentrations'!H19)</f>
        <v>1.1956100000000001</v>
      </c>
      <c r="I19" s="134">
        <f>IF(ISBLANK('Phase CEMS PM Concentrations'!I19),"",'Phase CEMS PM Concentrations'!I19)</f>
        <v>10.4308</v>
      </c>
      <c r="J19" s="6">
        <f>IF(ISBLANK('Phase CEMS PM Concentrations'!J19),"",'Phase CEMS PM Concentrations'!J19)</f>
        <v>1951.19</v>
      </c>
      <c r="K19" s="9">
        <f>IF(ISBLANK('Phase CEMS PM Concentrations'!K19),"",'Phase CEMS PM Concentrations'!K19)</f>
        <v>167.02</v>
      </c>
      <c r="L19" s="9">
        <f>IF(ISBLANK('Phase CEMS PM Concentrations'!L19),"",'Phase CEMS PM Concentrations'!L19)</f>
        <v>146.01300000000001</v>
      </c>
      <c r="M19" s="9">
        <f>IF(ISBLANK('Phase CEMS PM Concentrations'!M19),"",'Phase CEMS PM Concentrations'!M19)</f>
        <v>29.088999999999999</v>
      </c>
      <c r="N19" s="9">
        <f>IF(ISBLANK('Phase CEMS PM Concentrations'!N19),"",'Phase CEMS PM Concentrations'!N19)</f>
        <v>1.2263200000000001</v>
      </c>
      <c r="O19" s="9">
        <f>IF(ISBLANK('Phase CEMS PM Concentrations'!O19),"",'Phase CEMS PM Concentrations'!O19)</f>
        <v>1.1487099999999999</v>
      </c>
      <c r="P19" s="109">
        <f t="shared" si="1"/>
        <v>0.19922198708334188</v>
      </c>
      <c r="Q19" s="68">
        <f>(G19-Backgrounds!$G$34)/(G19-Backgrounds!$G$34 + 'Phase CEMS VOC Concentration'!H19 - Backgrounds!$H$34)</f>
        <v>0.87677241382507265</v>
      </c>
      <c r="R19" s="68">
        <f>(J19-Backgrounds!$J$34)/(J19-Backgrounds!$J$34 + 'Phase CEMS VOC Concentration'!K19 - Backgrounds!$L$34)</f>
        <v>0.89782669035056983</v>
      </c>
      <c r="T19" s="76" t="s">
        <v>537</v>
      </c>
      <c r="U19" s="76" t="s">
        <v>537</v>
      </c>
      <c r="V19" s="76" t="s">
        <v>537</v>
      </c>
      <c r="W19" s="76" t="s">
        <v>537</v>
      </c>
      <c r="X19" s="76" t="s">
        <v>537</v>
      </c>
      <c r="Y19" s="76" t="s">
        <v>537</v>
      </c>
      <c r="Z19" s="76" t="s">
        <v>537</v>
      </c>
      <c r="AA19" s="76" t="s">
        <v>537</v>
      </c>
      <c r="AB19" s="76" t="s">
        <v>537</v>
      </c>
      <c r="AC19" s="76" t="s">
        <v>537</v>
      </c>
      <c r="AD19" s="76" t="s">
        <v>537</v>
      </c>
      <c r="AE19" s="2"/>
      <c r="AF19" s="2"/>
      <c r="AG19" s="2"/>
    </row>
    <row r="20" spans="1:88" ht="15" customHeight="1">
      <c r="A20" s="20">
        <f>IF(ISBLANK('Phase CEMS PM Concentrations'!A20),"",'Phase CEMS PM Concentrations'!A20)</f>
        <v>44342</v>
      </c>
      <c r="B20" s="20" t="str">
        <f>IF(ISBLANK('Phase CEMS PM Concentrations'!B20),"",'Phase CEMS PM Concentrations'!B20)</f>
        <v>BK Princess</v>
      </c>
      <c r="C20" s="20" t="str">
        <f>IF(ISBLANK('Phase CEMS PM Concentrations'!C20),"",'Phase CEMS PM Concentrations'!C20)</f>
        <v>Wet birch</v>
      </c>
      <c r="D20" s="20" t="str">
        <f>IF(ISBLANK('Phase CEMS PM Concentrations'!D20),"",'Phase CEMS PM Concentrations'!D20)</f>
        <v>Low</v>
      </c>
      <c r="E20" s="22">
        <f>IF(ISBLANK('Phase CEMS PM Concentrations'!E20),"",'Phase CEMS PM Concentrations'!E20)</f>
        <v>44342.418055555558</v>
      </c>
      <c r="F20" s="22">
        <f>IF(ISBLANK('Phase CEMS PM Concentrations'!F20),"",'Phase CEMS PM Concentrations'!F20)</f>
        <v>44342.729166666664</v>
      </c>
      <c r="G20" s="133">
        <f>IF(ISBLANK('Phase CEMS PM Concentrations'!G20),"",'Phase CEMS PM Concentrations'!G20)</f>
        <v>12.8842</v>
      </c>
      <c r="H20" s="134">
        <f>IF(ISBLANK('Phase CEMS PM Concentrations'!H20),"",'Phase CEMS PM Concentrations'!H20)</f>
        <v>0.18128</v>
      </c>
      <c r="I20" s="134">
        <f>IF(ISBLANK('Phase CEMS PM Concentrations'!I20),"",'Phase CEMS PM Concentrations'!I20)</f>
        <v>7.32843</v>
      </c>
      <c r="J20" s="6">
        <f>IF(ISBLANK('Phase CEMS PM Concentrations'!J20),"",'Phase CEMS PM Concentrations'!J20)</f>
        <v>1129.29</v>
      </c>
      <c r="K20" s="9">
        <f>IF(ISBLANK('Phase CEMS PM Concentrations'!K20),"",'Phase CEMS PM Concentrations'!K20)</f>
        <v>11.508699999999999</v>
      </c>
      <c r="L20" s="9">
        <f>IF(ISBLANK('Phase CEMS PM Concentrations'!L20),"",'Phase CEMS PM Concentrations'!L20)</f>
        <v>25.730399999999999</v>
      </c>
      <c r="M20" s="9">
        <f>IF(ISBLANK('Phase CEMS PM Concentrations'!M20),"",'Phase CEMS PM Concentrations'!M20)</f>
        <v>14.631</v>
      </c>
      <c r="N20" s="9">
        <f>IF(ISBLANK('Phase CEMS PM Concentrations'!N20),"",'Phase CEMS PM Concentrations'!N20)</f>
        <v>0.892181</v>
      </c>
      <c r="O20" s="9">
        <f>IF(ISBLANK('Phase CEMS PM Concentrations'!O20),"",'Phase CEMS PM Concentrations'!O20)</f>
        <v>0.85153299999999998</v>
      </c>
      <c r="P20" s="109">
        <f t="shared" si="1"/>
        <v>0.56862699375058301</v>
      </c>
      <c r="Q20" s="68">
        <f>(G20-Backgrounds!$G$34)/(G20-Backgrounds!$G$34 + 'Phase CEMS VOC Concentration'!H20 - Backgrounds!$H$34)</f>
        <v>0.98679164881329262</v>
      </c>
      <c r="R20" s="68">
        <f>(J20-Backgrounds!$J$34)/(J20-Backgrounds!$J$34 + 'Phase CEMS VOC Concentration'!K20 - Backgrounds!$L$34)</f>
        <v>0.98146029832626047</v>
      </c>
      <c r="T20" s="76" t="s">
        <v>537</v>
      </c>
      <c r="U20" s="76" t="s">
        <v>537</v>
      </c>
      <c r="V20" s="76" t="s">
        <v>537</v>
      </c>
      <c r="W20" s="76" t="s">
        <v>537</v>
      </c>
      <c r="X20" s="76" t="s">
        <v>537</v>
      </c>
      <c r="Y20" s="76" t="s">
        <v>537</v>
      </c>
      <c r="Z20" s="76" t="s">
        <v>537</v>
      </c>
      <c r="AA20" s="76" t="s">
        <v>537</v>
      </c>
      <c r="AB20" s="76" t="s">
        <v>537</v>
      </c>
      <c r="AC20" s="76" t="s">
        <v>537</v>
      </c>
      <c r="AD20" s="76" t="s">
        <v>537</v>
      </c>
      <c r="AE20" s="2"/>
      <c r="AF20" s="2"/>
      <c r="AG20" s="2"/>
    </row>
    <row r="21" spans="1:88" ht="15" customHeight="1">
      <c r="A21" s="20">
        <f>IF(ISBLANK('Phase CEMS PM Concentrations'!A21),"",'Phase CEMS PM Concentrations'!A21)</f>
        <v>44343</v>
      </c>
      <c r="B21" s="20" t="str">
        <f>IF(ISBLANK('Phase CEMS PM Concentrations'!B21),"",'Phase CEMS PM Concentrations'!B21)</f>
        <v>BK Princess</v>
      </c>
      <c r="C21" s="20" t="str">
        <f>IF(ISBLANK('Phase CEMS PM Concentrations'!C21),"",'Phase CEMS PM Concentrations'!C21)</f>
        <v>Wet birch</v>
      </c>
      <c r="D21" s="20" t="str">
        <f>IF(ISBLANK('Phase CEMS PM Concentrations'!D21),"",'Phase CEMS PM Concentrations'!D21)</f>
        <v>Startup</v>
      </c>
      <c r="E21" s="22">
        <f>IF(ISBLANK('Phase CEMS PM Concentrations'!E21),"",'Phase CEMS PM Concentrations'!E21)</f>
        <v>44343.367361111108</v>
      </c>
      <c r="F21" s="22">
        <f>IF(ISBLANK('Phase CEMS PM Concentrations'!F21),"",'Phase CEMS PM Concentrations'!F21)</f>
        <v>44343.402083333334</v>
      </c>
      <c r="G21" s="133">
        <f>IF(ISBLANK('Phase CEMS PM Concentrations'!G21),"",'Phase CEMS PM Concentrations'!G21)</f>
        <v>9.3283900000000006</v>
      </c>
      <c r="H21" s="134">
        <f>IF(ISBLANK('Phase CEMS PM Concentrations'!H21),"",'Phase CEMS PM Concentrations'!H21)</f>
        <v>0.688724</v>
      </c>
      <c r="I21" s="134">
        <f>IF(ISBLANK('Phase CEMS PM Concentrations'!I21),"",'Phase CEMS PM Concentrations'!I21)</f>
        <v>11.167299999999999</v>
      </c>
      <c r="J21" s="6">
        <f>IF(ISBLANK('Phase CEMS PM Concentrations'!J21),"",'Phase CEMS PM Concentrations'!J21)</f>
        <v>1899.93</v>
      </c>
      <c r="K21" s="9">
        <f>IF(ISBLANK('Phase CEMS PM Concentrations'!K21),"",'Phase CEMS PM Concentrations'!K21)</f>
        <v>92.449299999999994</v>
      </c>
      <c r="L21" s="9">
        <f>IF(ISBLANK('Phase CEMS PM Concentrations'!L21),"",'Phase CEMS PM Concentrations'!L21)</f>
        <v>54.931600000000003</v>
      </c>
      <c r="M21" s="9">
        <f>IF(ISBLANK('Phase CEMS PM Concentrations'!M21),"",'Phase CEMS PM Concentrations'!M21)</f>
        <v>10.410500000000001</v>
      </c>
      <c r="N21" s="9">
        <f>IF(ISBLANK('Phase CEMS PM Concentrations'!N21),"",'Phase CEMS PM Concentrations'!N21)</f>
        <v>1.35379</v>
      </c>
      <c r="O21" s="9">
        <f>IF(ISBLANK('Phase CEMS PM Concentrations'!O21),"",'Phase CEMS PM Concentrations'!O21)</f>
        <v>1.2777400000000001</v>
      </c>
      <c r="P21" s="109">
        <f t="shared" si="1"/>
        <v>0.18951750904761558</v>
      </c>
      <c r="Q21" s="68">
        <f>(G21-Backgrounds!$G$34)/(G21-Backgrounds!$G$34 + 'Phase CEMS VOC Concentration'!H21 - Backgrounds!$H$34)</f>
        <v>0.93157463719470279</v>
      </c>
      <c r="R21" s="68">
        <f>(J21-Backgrounds!$J$34)/(J21-Backgrounds!$J$34 + 'Phase CEMS VOC Concentration'!K21 - Backgrounds!$L$34)</f>
        <v>0.9385101597566341</v>
      </c>
      <c r="T21" s="76" t="s">
        <v>537</v>
      </c>
      <c r="U21" s="76" t="s">
        <v>537</v>
      </c>
      <c r="V21" s="76" t="s">
        <v>537</v>
      </c>
      <c r="W21" s="76" t="s">
        <v>537</v>
      </c>
      <c r="X21" s="76" t="s">
        <v>537</v>
      </c>
      <c r="Y21" s="76" t="s">
        <v>537</v>
      </c>
      <c r="Z21" s="76" t="s">
        <v>537</v>
      </c>
      <c r="AA21" s="76" t="s">
        <v>537</v>
      </c>
      <c r="AB21" s="76" t="s">
        <v>537</v>
      </c>
      <c r="AC21" s="76" t="s">
        <v>537</v>
      </c>
      <c r="AD21" s="76" t="s">
        <v>537</v>
      </c>
      <c r="AE21" s="2"/>
      <c r="AF21" s="2"/>
      <c r="AG21" s="2"/>
    </row>
    <row r="22" spans="1:88" ht="15" customHeight="1">
      <c r="A22" s="20">
        <f>IF(ISBLANK('Phase CEMS PM Concentrations'!A22),"",'Phase CEMS PM Concentrations'!A22)</f>
        <v>44343</v>
      </c>
      <c r="B22" s="20" t="str">
        <f>IF(ISBLANK('Phase CEMS PM Concentrations'!B22),"",'Phase CEMS PM Concentrations'!B22)</f>
        <v>BK Princess</v>
      </c>
      <c r="C22" s="20" t="str">
        <f>IF(ISBLANK('Phase CEMS PM Concentrations'!C22),"",'Phase CEMS PM Concentrations'!C22)</f>
        <v>Wet birch</v>
      </c>
      <c r="D22" s="20" t="str">
        <f>IF(ISBLANK('Phase CEMS PM Concentrations'!D22),"",'Phase CEMS PM Concentrations'!D22)</f>
        <v>Low</v>
      </c>
      <c r="E22" s="22">
        <f>IF(ISBLANK('Phase CEMS PM Concentrations'!E22),"",'Phase CEMS PM Concentrations'!E22)</f>
        <v>44343.403819444444</v>
      </c>
      <c r="F22" s="22">
        <f>IF(ISBLANK('Phase CEMS PM Concentrations'!F22),"",'Phase CEMS PM Concentrations'!F22)</f>
        <v>44343.740972222222</v>
      </c>
      <c r="G22" s="133">
        <f>IF(ISBLANK('Phase CEMS PM Concentrations'!G22),"",'Phase CEMS PM Concentrations'!G22)</f>
        <v>12.942600000000001</v>
      </c>
      <c r="H22" s="134">
        <f>IF(ISBLANK('Phase CEMS PM Concentrations'!H22),"",'Phase CEMS PM Concentrations'!H22)</f>
        <v>0.14152600000000001</v>
      </c>
      <c r="I22" s="134">
        <f>IF(ISBLANK('Phase CEMS PM Concentrations'!I22),"",'Phase CEMS PM Concentrations'!I22)</f>
        <v>7.8463200000000004</v>
      </c>
      <c r="J22" s="6">
        <f>IF(ISBLANK('Phase CEMS PM Concentrations'!J22),"",'Phase CEMS PM Concentrations'!J22)</f>
        <v>1047.93</v>
      </c>
      <c r="K22" s="9">
        <f>IF(ISBLANK('Phase CEMS PM Concentrations'!K22),"",'Phase CEMS PM Concentrations'!K22)</f>
        <v>7.7521800000000001</v>
      </c>
      <c r="L22" s="9">
        <f>IF(ISBLANK('Phase CEMS PM Concentrations'!L22),"",'Phase CEMS PM Concentrations'!L22)</f>
        <v>20.703700000000001</v>
      </c>
      <c r="M22" s="9">
        <f>IF(ISBLANK('Phase CEMS PM Concentrations'!M22),"",'Phase CEMS PM Concentrations'!M22)</f>
        <v>13.0564</v>
      </c>
      <c r="N22" s="9">
        <f>IF(ISBLANK('Phase CEMS PM Concentrations'!N22),"",'Phase CEMS PM Concentrations'!N22)</f>
        <v>0.85555899999999996</v>
      </c>
      <c r="O22" s="9">
        <f>IF(ISBLANK('Phase CEMS PM Concentrations'!O22),"",'Phase CEMS PM Concentrations'!O22)</f>
        <v>0.82164599999999999</v>
      </c>
      <c r="P22" s="109">
        <f t="shared" si="1"/>
        <v>0.63063123982669755</v>
      </c>
      <c r="Q22" s="68">
        <f>(G22-Backgrounds!$G$34)/(G22-Backgrounds!$G$34 + 'Phase CEMS VOC Concentration'!H22 - Backgrounds!$H$34)</f>
        <v>0.98987186354973156</v>
      </c>
      <c r="R22" s="68">
        <f>(J22-Backgrounds!$J$34)/(J22-Backgrounds!$J$34 + 'Phase CEMS VOC Concentration'!K22 - Backgrounds!$L$34)</f>
        <v>0.98521477011056191</v>
      </c>
      <c r="T22" s="76" t="s">
        <v>537</v>
      </c>
      <c r="U22" s="76" t="s">
        <v>537</v>
      </c>
      <c r="V22" s="76" t="s">
        <v>537</v>
      </c>
      <c r="W22" s="76" t="s">
        <v>537</v>
      </c>
      <c r="X22" s="76" t="s">
        <v>537</v>
      </c>
      <c r="Y22" s="76" t="s">
        <v>537</v>
      </c>
      <c r="Z22" s="76" t="s">
        <v>537</v>
      </c>
      <c r="AA22" s="76" t="s">
        <v>537</v>
      </c>
      <c r="AB22" s="76" t="s">
        <v>537</v>
      </c>
      <c r="AC22" s="76" t="s">
        <v>537</v>
      </c>
      <c r="AD22" s="76" t="s">
        <v>537</v>
      </c>
      <c r="AE22" s="2"/>
      <c r="AF22" s="2"/>
      <c r="AG22" s="2"/>
    </row>
    <row r="23" spans="1:88" ht="15" customHeight="1">
      <c r="A23" s="20">
        <f>IF(ISBLANK('Phase CEMS PM Concentrations'!A23),"",'Phase CEMS PM Concentrations'!A23)</f>
        <v>44348</v>
      </c>
      <c r="B23" s="20" t="str">
        <f>IF(ISBLANK('Phase CEMS PM Concentrations'!B23),"",'Phase CEMS PM Concentrations'!B23)</f>
        <v>BK Princess</v>
      </c>
      <c r="C23" s="20" t="str">
        <f>IF(ISBLANK('Phase CEMS PM Concentrations'!C23),"",'Phase CEMS PM Concentrations'!C23)</f>
        <v>Wet birch</v>
      </c>
      <c r="D23" s="20" t="str">
        <f>IF(ISBLANK('Phase CEMS PM Concentrations'!D23),"",'Phase CEMS PM Concentrations'!D23)</f>
        <v>Startup</v>
      </c>
      <c r="E23" s="22">
        <f>IF(ISBLANK('Phase CEMS PM Concentrations'!E23),"",'Phase CEMS PM Concentrations'!E23)</f>
        <v>44348.375694444447</v>
      </c>
      <c r="F23" s="22">
        <f>IF(ISBLANK('Phase CEMS PM Concentrations'!F23),"",'Phase CEMS PM Concentrations'!F23)</f>
        <v>44348.38958333333</v>
      </c>
      <c r="G23" s="133">
        <f>IF(ISBLANK('Phase CEMS PM Concentrations'!G23),"",'Phase CEMS PM Concentrations'!G23)</f>
        <v>11.268800000000001</v>
      </c>
      <c r="H23" s="134">
        <f>IF(ISBLANK('Phase CEMS PM Concentrations'!H23),"",'Phase CEMS PM Concentrations'!H23)</f>
        <v>0.59109900000000004</v>
      </c>
      <c r="I23" s="134">
        <f>IF(ISBLANK('Phase CEMS PM Concentrations'!I23),"",'Phase CEMS PM Concentrations'!I23)</f>
        <v>9.2395399999999999</v>
      </c>
      <c r="J23" s="6">
        <f>IF(ISBLANK('Phase CEMS PM Concentrations'!J23),"",'Phase CEMS PM Concentrations'!J23)</f>
        <v>2986.97</v>
      </c>
      <c r="K23" s="9">
        <f>IF(ISBLANK('Phase CEMS PM Concentrations'!K23),"",'Phase CEMS PM Concentrations'!K23)</f>
        <v>101.94799999999999</v>
      </c>
      <c r="L23" s="9">
        <f>IF(ISBLANK('Phase CEMS PM Concentrations'!L23),"",'Phase CEMS PM Concentrations'!L23)</f>
        <v>47.512700000000002</v>
      </c>
      <c r="M23" s="9">
        <f>IF(ISBLANK('Phase CEMS PM Concentrations'!M23),"",'Phase CEMS PM Concentrations'!M23)</f>
        <v>12.042999999999999</v>
      </c>
      <c r="N23" s="9">
        <f>IF(ISBLANK('Phase CEMS PM Concentrations'!N23),"",'Phase CEMS PM Concentrations'!N23)</f>
        <v>2.4124599999999998</v>
      </c>
      <c r="O23" s="9">
        <f>IF(ISBLANK('Phase CEMS PM Concentrations'!O23),"",'Phase CEMS PM Concentrations'!O23)</f>
        <v>2.2035100000000001</v>
      </c>
      <c r="P23" s="109">
        <f t="shared" si="1"/>
        <v>0.25346907247956857</v>
      </c>
      <c r="Q23" s="68">
        <f>(G23-Backgrounds!$G$34)/(G23-Backgrounds!$G$34 + 'Phase CEMS VOC Concentration'!H23 - Backgrounds!$H$34)</f>
        <v>0.95059510618051146</v>
      </c>
      <c r="R23" s="68">
        <f>(J23-Backgrounds!$J$34)/(J23-Backgrounds!$J$34 + 'Phase CEMS VOC Concentration'!K23 - Backgrounds!$L$34)</f>
        <v>0.96067502759041046</v>
      </c>
      <c r="T23" s="76" t="s">
        <v>537</v>
      </c>
      <c r="U23" s="76" t="s">
        <v>537</v>
      </c>
      <c r="V23" s="76" t="s">
        <v>537</v>
      </c>
      <c r="W23" s="76" t="s">
        <v>537</v>
      </c>
      <c r="X23" s="76" t="s">
        <v>537</v>
      </c>
      <c r="Y23" s="76" t="s">
        <v>537</v>
      </c>
      <c r="Z23" s="76" t="s">
        <v>537</v>
      </c>
      <c r="AA23" s="76" t="s">
        <v>537</v>
      </c>
      <c r="AB23" s="76" t="s">
        <v>537</v>
      </c>
      <c r="AC23" s="76" t="s">
        <v>537</v>
      </c>
      <c r="AD23" s="76" t="s">
        <v>537</v>
      </c>
      <c r="AE23" s="2"/>
      <c r="AF23" s="2"/>
      <c r="AG23" s="2"/>
    </row>
    <row r="24" spans="1:88" ht="15" customHeight="1">
      <c r="A24" s="20">
        <f>IF(ISBLANK('Phase CEMS PM Concentrations'!A24),"",'Phase CEMS PM Concentrations'!A24)</f>
        <v>44348</v>
      </c>
      <c r="B24" s="20" t="str">
        <f>IF(ISBLANK('Phase CEMS PM Concentrations'!B24),"",'Phase CEMS PM Concentrations'!B24)</f>
        <v>BK Princess</v>
      </c>
      <c r="C24" s="20" t="str">
        <f>IF(ISBLANK('Phase CEMS PM Concentrations'!C24),"",'Phase CEMS PM Concentrations'!C24)</f>
        <v>Wet birch</v>
      </c>
      <c r="D24" s="20" t="str">
        <f>IF(ISBLANK('Phase CEMS PM Concentrations'!D24),"",'Phase CEMS PM Concentrations'!D24)</f>
        <v>High</v>
      </c>
      <c r="E24" s="22">
        <f>IF(ISBLANK('Phase CEMS PM Concentrations'!E24),"",'Phase CEMS PM Concentrations'!E24)</f>
        <v>44348.390972222223</v>
      </c>
      <c r="F24" s="22">
        <f>IF(ISBLANK('Phase CEMS PM Concentrations'!F24),"",'Phase CEMS PM Concentrations'!F24)</f>
        <v>44348.540972222225</v>
      </c>
      <c r="G24" s="133">
        <f>IF(ISBLANK('Phase CEMS PM Concentrations'!G24),"",'Phase CEMS PM Concentrations'!G24)</f>
        <v>12.6692</v>
      </c>
      <c r="H24" s="134">
        <f>IF(ISBLANK('Phase CEMS PM Concentrations'!H24),"",'Phase CEMS PM Concentrations'!H24)</f>
        <v>0.22531799999999999</v>
      </c>
      <c r="I24" s="134">
        <f>IF(ISBLANK('Phase CEMS PM Concentrations'!I24),"",'Phase CEMS PM Concentrations'!I24)</f>
        <v>8.0125700000000002</v>
      </c>
      <c r="J24" s="6">
        <f>IF(ISBLANK('Phase CEMS PM Concentrations'!J24),"",'Phase CEMS PM Concentrations'!J24)</f>
        <v>1494.19</v>
      </c>
      <c r="K24" s="9">
        <f>IF(ISBLANK('Phase CEMS PM Concentrations'!K24),"",'Phase CEMS PM Concentrations'!K24)</f>
        <v>25.254300000000001</v>
      </c>
      <c r="L24" s="9">
        <f>IF(ISBLANK('Phase CEMS PM Concentrations'!L24),"",'Phase CEMS PM Concentrations'!L24)</f>
        <v>32.2224</v>
      </c>
      <c r="M24" s="9">
        <f>IF(ISBLANK('Phase CEMS PM Concentrations'!M24),"",'Phase CEMS PM Concentrations'!M24)</f>
        <v>13.388299999999999</v>
      </c>
      <c r="N24" s="9">
        <f>IF(ISBLANK('Phase CEMS PM Concentrations'!N24),"",'Phase CEMS PM Concentrations'!N24)</f>
        <v>1.20038</v>
      </c>
      <c r="O24" s="9">
        <f>IF(ISBLANK('Phase CEMS PM Concentrations'!O24),"",'Phase CEMS PM Concentrations'!O24)</f>
        <v>1.16466</v>
      </c>
      <c r="P24" s="109">
        <f t="shared" si="1"/>
        <v>0.41549667312180344</v>
      </c>
      <c r="Q24" s="68">
        <f>(G24-Backgrounds!$G$34)/(G24-Backgrounds!$G$34 + 'Phase CEMS VOC Concentration'!H24 - Backgrounds!$H$34)</f>
        <v>0.98317380055139603</v>
      </c>
      <c r="R24" s="68">
        <f>(J24-Backgrounds!$J$34)/(J24-Backgrounds!$J$34 + 'Phase CEMS VOC Concentration'!K24 - Backgrounds!$L$34)</f>
        <v>0.97501812749799199</v>
      </c>
      <c r="T24" s="76" t="s">
        <v>537</v>
      </c>
      <c r="U24" s="76" t="s">
        <v>537</v>
      </c>
      <c r="V24" s="76" t="s">
        <v>537</v>
      </c>
      <c r="W24" s="76" t="s">
        <v>537</v>
      </c>
      <c r="X24" s="76" t="s">
        <v>537</v>
      </c>
      <c r="Y24" s="76" t="s">
        <v>537</v>
      </c>
      <c r="Z24" s="76" t="s">
        <v>537</v>
      </c>
      <c r="AA24" s="76" t="s">
        <v>537</v>
      </c>
      <c r="AB24" s="76" t="s">
        <v>537</v>
      </c>
      <c r="AC24" s="76" t="s">
        <v>537</v>
      </c>
      <c r="AD24" s="76" t="s">
        <v>537</v>
      </c>
      <c r="AE24" s="2"/>
      <c r="AF24" s="2"/>
      <c r="AG24" s="2"/>
    </row>
    <row r="25" spans="1:88" ht="15" customHeight="1">
      <c r="A25" s="70">
        <f>IF(ISBLANK('Phase CEMS PM Concentrations'!A25),"",'Phase CEMS PM Concentrations'!A25)</f>
        <v>44351</v>
      </c>
      <c r="B25" s="70" t="str">
        <f>IF(ISBLANK('Phase CEMS PM Concentrations'!B25),"",'Phase CEMS PM Concentrations'!B25)</f>
        <v>BK Princess</v>
      </c>
      <c r="C25" s="70" t="str">
        <f>IF(ISBLANK('Phase CEMS PM Concentrations'!C25),"",'Phase CEMS PM Concentrations'!C25)</f>
        <v xml:space="preserve">None </v>
      </c>
      <c r="D25" s="70" t="str">
        <f>IF(ISBLANK('Phase CEMS PM Concentrations'!D25),"",'Phase CEMS PM Concentrations'!D25)</f>
        <v>Background</v>
      </c>
      <c r="E25" s="127">
        <f>IF(ISBLANK('Phase CEMS PM Concentrations'!E25),"",'Phase CEMS PM Concentrations'!E25)</f>
        <v>44351.373611111114</v>
      </c>
      <c r="F25" s="127">
        <f>IF(ISBLANK('Phase CEMS PM Concentrations'!F25),"",'Phase CEMS PM Concentrations'!F25)</f>
        <v>44351.540277777778</v>
      </c>
      <c r="G25" s="136">
        <f>IF(ISBLANK('Phase CEMS PM Concentrations'!G25),"",'Phase CEMS PM Concentrations'!G25)</f>
        <v>4.08805E-2</v>
      </c>
      <c r="H25" s="137">
        <f>IF(ISBLANK('Phase CEMS PM Concentrations'!H25),"",'Phase CEMS PM Concentrations'!H25)</f>
        <v>9.4410099999999997E-3</v>
      </c>
      <c r="I25" s="137">
        <f>IF(ISBLANK('Phase CEMS PM Concentrations'!I25),"",'Phase CEMS PM Concentrations'!I25)</f>
        <v>21.068999999999999</v>
      </c>
      <c r="J25" s="124">
        <f>IF(ISBLANK('Phase CEMS PM Concentrations'!J25),"",'Phase CEMS PM Concentrations'!J25)</f>
        <v>442.53399999999999</v>
      </c>
      <c r="K25" s="71">
        <f>IF(ISBLANK('Phase CEMS PM Concentrations'!K25),"",'Phase CEMS PM Concentrations'!K25)</f>
        <v>-0.61384799999999995</v>
      </c>
      <c r="L25" s="71">
        <f>IF(ISBLANK('Phase CEMS PM Concentrations'!L25),"",'Phase CEMS PM Concentrations'!L25)</f>
        <v>2.5526200000000001</v>
      </c>
      <c r="M25" s="71">
        <f>IF(ISBLANK('Phase CEMS PM Concentrations'!M25),"",'Phase CEMS PM Concentrations'!M25)</f>
        <v>1.82853</v>
      </c>
      <c r="N25" s="71">
        <f>IF(ISBLANK('Phase CEMS PM Concentrations'!N25),"",'Phase CEMS PM Concentrations'!N25)</f>
        <v>4.9246600000000001E-2</v>
      </c>
      <c r="O25" s="71">
        <f>IF(ISBLANK('Phase CEMS PM Concentrations'!O25),"",'Phase CEMS PM Concentrations'!O25)</f>
        <v>4.2708799999999998E-2</v>
      </c>
      <c r="P25" s="129"/>
      <c r="Q25" s="73"/>
      <c r="R25" s="73"/>
      <c r="T25" s="76" t="s">
        <v>537</v>
      </c>
      <c r="U25" s="76" t="s">
        <v>537</v>
      </c>
      <c r="V25" s="76" t="s">
        <v>537</v>
      </c>
      <c r="W25" s="76" t="s">
        <v>537</v>
      </c>
      <c r="X25" s="76" t="s">
        <v>537</v>
      </c>
      <c r="Y25" s="76" t="s">
        <v>537</v>
      </c>
      <c r="Z25" s="76" t="s">
        <v>537</v>
      </c>
      <c r="AA25" s="76" t="s">
        <v>537</v>
      </c>
      <c r="AB25" s="76" t="s">
        <v>537</v>
      </c>
      <c r="AC25" s="76" t="s">
        <v>537</v>
      </c>
      <c r="AD25" s="76" t="s">
        <v>537</v>
      </c>
      <c r="AE25" s="2"/>
      <c r="AF25" s="2"/>
      <c r="AG25" s="2"/>
    </row>
    <row r="26" spans="1:88" ht="15" customHeight="1">
      <c r="A26" s="4"/>
      <c r="B26" s="3"/>
      <c r="C26" s="3"/>
      <c r="D26" s="3"/>
      <c r="E26" s="22"/>
      <c r="F26" s="22"/>
      <c r="AE26" s="2"/>
      <c r="AF26" s="2"/>
      <c r="AG26" s="2"/>
    </row>
    <row r="27" spans="1:88" ht="15" customHeight="1">
      <c r="A27" s="4"/>
      <c r="B27" s="3"/>
      <c r="C27" s="3"/>
      <c r="D27" s="3"/>
      <c r="E27" s="22"/>
      <c r="F27" s="22"/>
      <c r="AE27" s="2"/>
      <c r="AF27" s="2"/>
      <c r="AG27" s="2"/>
    </row>
    <row r="28" spans="1:88" ht="15" customHeight="1">
      <c r="A28" s="4"/>
      <c r="B28" s="3"/>
      <c r="C28" s="3"/>
      <c r="D28" s="3"/>
      <c r="E28" s="22"/>
      <c r="F28" s="22"/>
      <c r="AE28" s="2"/>
      <c r="AF28" s="2"/>
      <c r="AG28" s="2"/>
    </row>
    <row r="32" spans="1:88" ht="30">
      <c r="A32" s="20"/>
      <c r="B32" s="20"/>
      <c r="C32" s="20"/>
      <c r="D32" s="20"/>
      <c r="E32" s="22"/>
      <c r="F32" s="22"/>
      <c r="G32" s="51" t="str">
        <f t="shared" ref="G32:R32" si="2">G1</f>
        <v>Chimney CO2 (%)</v>
      </c>
      <c r="H32" s="51" t="str">
        <f t="shared" si="2"/>
        <v>Chimney CO (%)</v>
      </c>
      <c r="I32" s="51" t="str">
        <f t="shared" si="2"/>
        <v>Chimney O2 (%)</v>
      </c>
      <c r="J32" s="51" t="str">
        <f t="shared" si="2"/>
        <v>CO2 10" (ppm)</v>
      </c>
      <c r="K32" s="51" t="str">
        <f t="shared" si="2"/>
        <v>CO 10" (ppm)</v>
      </c>
      <c r="L32" s="51" t="str">
        <f t="shared" si="2"/>
        <v>THC 10" (ppm)</v>
      </c>
      <c r="M32" s="51" t="str">
        <f t="shared" si="2"/>
        <v>CH4 10" (ppm)</v>
      </c>
      <c r="N32" s="51" t="str">
        <f t="shared" si="2"/>
        <v>NOx 10" (ppm)</v>
      </c>
      <c r="O32" s="51" t="str">
        <f t="shared" si="2"/>
        <v>NO 10" (ppm)</v>
      </c>
      <c r="P32" s="51" t="str">
        <f t="shared" si="2"/>
        <v>CH4/THC</v>
      </c>
      <c r="Q32" s="51" t="str">
        <f t="shared" si="2"/>
        <v>Stack MCE</v>
      </c>
      <c r="R32" s="51" t="str">
        <f t="shared" si="2"/>
        <v>10" MCE</v>
      </c>
      <c r="S32" s="51"/>
      <c r="T32" s="51"/>
      <c r="U32" s="51"/>
      <c r="W32" s="14"/>
      <c r="X32" s="14"/>
      <c r="Y32" s="51"/>
      <c r="Z32" s="51"/>
      <c r="AA32" s="51"/>
      <c r="AB32" s="51"/>
      <c r="AC32" s="51"/>
      <c r="AD32" s="51"/>
      <c r="AE32" s="51"/>
      <c r="AG32" s="51"/>
      <c r="AH32" s="51"/>
      <c r="AI32" s="51"/>
      <c r="AJ32" s="51"/>
      <c r="AK32" s="51"/>
      <c r="AL32" s="51"/>
      <c r="AN32" s="51"/>
      <c r="AO32" s="51"/>
      <c r="AP32" s="51"/>
      <c r="AQ32" s="51"/>
      <c r="AR32" s="51"/>
      <c r="AS32" s="51"/>
      <c r="AT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row>
    <row r="33" spans="1:88">
      <c r="A33" s="20"/>
      <c r="B33" s="20"/>
      <c r="C33" s="20" t="s">
        <v>500</v>
      </c>
      <c r="D33" s="20" t="s">
        <v>501</v>
      </c>
      <c r="E33" s="20" t="s">
        <v>501</v>
      </c>
      <c r="F33" s="22" t="s">
        <v>502</v>
      </c>
      <c r="G33" s="133">
        <f>AVERAGE(G3,G5,G7,G9,G11,G13)</f>
        <v>8.9852683333333339</v>
      </c>
      <c r="H33" s="134">
        <f t="shared" ref="H33:R33" si="3">AVERAGE(H3,H5,H7,H9,H11,H13)</f>
        <v>0.78561333333333339</v>
      </c>
      <c r="I33" s="134">
        <f t="shared" si="3"/>
        <v>11.329028333333333</v>
      </c>
      <c r="J33" s="6">
        <f t="shared" si="3"/>
        <v>2323.52</v>
      </c>
      <c r="K33" s="9">
        <f t="shared" si="3"/>
        <v>126.88516666666665</v>
      </c>
      <c r="L33" s="9">
        <f t="shared" si="3"/>
        <v>84.451733333333337</v>
      </c>
      <c r="M33" s="9">
        <f t="shared" si="3"/>
        <v>17.1038</v>
      </c>
      <c r="N33" s="9">
        <f t="shared" si="3"/>
        <v>1.7637533333333335</v>
      </c>
      <c r="O33" s="9">
        <f t="shared" si="3"/>
        <v>1.5072083333333335</v>
      </c>
      <c r="P33" s="109">
        <f t="shared" si="3"/>
        <v>0.19251183680839271</v>
      </c>
      <c r="Q33" s="68">
        <f t="shared" si="3"/>
        <v>0.91973207785132161</v>
      </c>
      <c r="R33" s="68">
        <f t="shared" si="3"/>
        <v>0.93506761751814571</v>
      </c>
      <c r="S33" s="11"/>
      <c r="T33" s="11"/>
      <c r="U33" s="11"/>
      <c r="W33" s="14"/>
      <c r="X33" s="14"/>
      <c r="Y33" s="5"/>
      <c r="Z33" s="5"/>
      <c r="AA33" s="5"/>
      <c r="AB33" s="5"/>
      <c r="AC33" s="5"/>
      <c r="AD33" s="5"/>
      <c r="AE33" s="5"/>
      <c r="AG33" s="5"/>
      <c r="AH33" s="5"/>
      <c r="AI33" s="5"/>
      <c r="AJ33" s="5"/>
      <c r="AK33" s="5"/>
      <c r="AL33" s="5"/>
      <c r="AN33" s="5"/>
      <c r="AO33" s="5"/>
      <c r="AP33" s="5"/>
      <c r="AQ33" s="5"/>
      <c r="AR33" s="5"/>
      <c r="AS33" s="5"/>
      <c r="AT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row>
    <row r="34" spans="1:88">
      <c r="A34" s="20"/>
      <c r="B34" s="20"/>
      <c r="C34" s="20"/>
      <c r="D34" s="20"/>
      <c r="E34" s="20"/>
      <c r="F34" s="22" t="s">
        <v>503</v>
      </c>
      <c r="G34" s="133">
        <f>STDEV(G3,G5,G7,G9,G11,G13)</f>
        <v>0.92546216502711054</v>
      </c>
      <c r="H34" s="134">
        <f t="shared" ref="H34:R34" si="4">STDEV(H3,H5,H7,H9,H11,H13)</f>
        <v>9.2975252444220918E-2</v>
      </c>
      <c r="I34" s="134">
        <f t="shared" si="4"/>
        <v>1.1307877220843294</v>
      </c>
      <c r="J34" s="6">
        <f t="shared" si="4"/>
        <v>341.50810567247197</v>
      </c>
      <c r="K34" s="9">
        <f t="shared" si="4"/>
        <v>23.36589582632493</v>
      </c>
      <c r="L34" s="9">
        <f t="shared" si="4"/>
        <v>13.742837845462105</v>
      </c>
      <c r="M34" s="9">
        <f t="shared" si="4"/>
        <v>1.4787706583510505</v>
      </c>
      <c r="N34" s="9">
        <f t="shared" si="4"/>
        <v>0.38540244408496649</v>
      </c>
      <c r="O34" s="9">
        <f t="shared" si="4"/>
        <v>0.51799221609659951</v>
      </c>
      <c r="P34" s="109">
        <f t="shared" si="4"/>
        <v>2.2149901511415406E-2</v>
      </c>
      <c r="Q34" s="68">
        <f t="shared" si="4"/>
        <v>6.2448010642031796E-3</v>
      </c>
      <c r="R34" s="68">
        <f t="shared" si="4"/>
        <v>6.1874038796628436E-3</v>
      </c>
      <c r="S34" s="11"/>
      <c r="T34" s="11"/>
      <c r="U34" s="11"/>
      <c r="W34" s="14"/>
      <c r="X34" s="14"/>
      <c r="Y34" s="5"/>
      <c r="Z34" s="5"/>
      <c r="AA34" s="5"/>
      <c r="AB34" s="5"/>
      <c r="AC34" s="5"/>
      <c r="AD34" s="5"/>
      <c r="AE34" s="5"/>
      <c r="AG34" s="5"/>
      <c r="AH34" s="5"/>
      <c r="AI34" s="5"/>
      <c r="AJ34" s="5"/>
      <c r="AK34" s="5"/>
      <c r="AL34" s="5"/>
      <c r="AN34" s="5"/>
      <c r="AO34" s="5"/>
      <c r="AP34" s="5"/>
      <c r="AQ34" s="5"/>
      <c r="AR34" s="5"/>
      <c r="AS34" s="5"/>
      <c r="AT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row>
    <row r="35" spans="1:88" s="37" customFormat="1">
      <c r="A35" s="53"/>
      <c r="B35" s="53"/>
      <c r="C35" s="53"/>
      <c r="D35" s="53"/>
      <c r="E35" s="53"/>
      <c r="F35" s="54" t="s">
        <v>493</v>
      </c>
      <c r="G35" s="55">
        <f>G34/G33</f>
        <v>0.10299772145856269</v>
      </c>
      <c r="H35" s="55">
        <f t="shared" ref="H35:R35" si="5">H34/H33</f>
        <v>0.11834734531519439</v>
      </c>
      <c r="I35" s="55">
        <f t="shared" si="5"/>
        <v>9.9813301618923433E-2</v>
      </c>
      <c r="J35" s="55">
        <f t="shared" si="5"/>
        <v>0.1469787674186028</v>
      </c>
      <c r="K35" s="55">
        <f t="shared" si="5"/>
        <v>0.18414993998241139</v>
      </c>
      <c r="L35" s="55">
        <f t="shared" si="5"/>
        <v>0.16273008620461044</v>
      </c>
      <c r="M35" s="55">
        <f t="shared" si="5"/>
        <v>8.6458603254893684E-2</v>
      </c>
      <c r="N35" s="55">
        <f t="shared" si="5"/>
        <v>0.21851266659640603</v>
      </c>
      <c r="O35" s="55">
        <f t="shared" si="5"/>
        <v>0.34367658713179405</v>
      </c>
      <c r="P35" s="55">
        <f t="shared" si="5"/>
        <v>0.11505734856948684</v>
      </c>
      <c r="Q35" s="55">
        <f t="shared" si="5"/>
        <v>6.7898045687308046E-3</v>
      </c>
      <c r="R35" s="55">
        <f t="shared" si="5"/>
        <v>6.6170657220334895E-3</v>
      </c>
      <c r="S35" s="55"/>
      <c r="T35" s="55"/>
      <c r="U35" s="55"/>
      <c r="W35" s="56"/>
      <c r="X35" s="56"/>
      <c r="Y35" s="55"/>
      <c r="Z35" s="55"/>
      <c r="AA35" s="55"/>
      <c r="AB35" s="55"/>
      <c r="AC35" s="55"/>
      <c r="AD35" s="55"/>
      <c r="AE35" s="55"/>
      <c r="AG35" s="55"/>
      <c r="AH35" s="55"/>
      <c r="AI35" s="55"/>
      <c r="AJ35" s="55"/>
      <c r="AK35" s="55"/>
      <c r="AL35" s="55"/>
      <c r="AN35" s="55"/>
      <c r="AO35" s="55"/>
      <c r="AP35" s="55"/>
      <c r="AQ35" s="55"/>
      <c r="AR35" s="55"/>
      <c r="AS35" s="55"/>
      <c r="AT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row>
    <row r="36" spans="1:88">
      <c r="A36" s="20"/>
      <c r="B36" s="20"/>
      <c r="C36" s="20" t="s">
        <v>500</v>
      </c>
      <c r="D36" s="20" t="s">
        <v>504</v>
      </c>
      <c r="E36" s="20" t="s">
        <v>504</v>
      </c>
      <c r="F36" s="22" t="s">
        <v>502</v>
      </c>
      <c r="G36" s="133">
        <f>AVERAGE(G4,G6,G14)</f>
        <v>9.6149766666666654</v>
      </c>
      <c r="H36" s="134">
        <f t="shared" ref="H36:R36" si="6">AVERAGE(H4,H6,H14)</f>
        <v>0.14833706666666666</v>
      </c>
      <c r="I36" s="134">
        <f t="shared" si="6"/>
        <v>11.215533333333335</v>
      </c>
      <c r="J36" s="6">
        <f t="shared" si="6"/>
        <v>1293.3433333333332</v>
      </c>
      <c r="K36" s="9">
        <f t="shared" si="6"/>
        <v>19.083449999999999</v>
      </c>
      <c r="L36" s="9">
        <f t="shared" si="6"/>
        <v>46.877133333333326</v>
      </c>
      <c r="M36" s="9">
        <f t="shared" si="6"/>
        <v>19.280333333333335</v>
      </c>
      <c r="N36" s="9">
        <f t="shared" si="6"/>
        <v>0.79770166666666675</v>
      </c>
      <c r="O36" s="9">
        <f t="shared" si="6"/>
        <v>0.75766299999999998</v>
      </c>
      <c r="P36" s="109">
        <f t="shared" si="6"/>
        <v>0.41838374301565739</v>
      </c>
      <c r="Q36" s="68">
        <f t="shared" si="6"/>
        <v>0.98599364102222076</v>
      </c>
      <c r="R36" s="68">
        <f t="shared" si="6"/>
        <v>0.97660539579794892</v>
      </c>
      <c r="S36" s="11"/>
      <c r="T36" s="11"/>
      <c r="U36" s="11"/>
      <c r="W36" s="14"/>
      <c r="X36" s="14"/>
      <c r="Y36" s="5"/>
      <c r="Z36" s="5"/>
      <c r="AA36" s="5"/>
      <c r="AB36" s="5"/>
      <c r="AC36" s="5"/>
      <c r="AD36" s="5"/>
      <c r="AE36" s="5"/>
      <c r="AG36" s="5"/>
      <c r="AH36" s="5"/>
      <c r="AI36" s="5"/>
      <c r="AJ36" s="5"/>
      <c r="AK36" s="5"/>
      <c r="AL36" s="5"/>
      <c r="AN36" s="5"/>
      <c r="AO36" s="5"/>
      <c r="AP36" s="5"/>
      <c r="AQ36" s="5"/>
      <c r="AR36" s="5"/>
      <c r="AS36" s="5"/>
      <c r="AT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row>
    <row r="37" spans="1:88">
      <c r="A37" s="20"/>
      <c r="B37" s="20"/>
      <c r="C37" s="20"/>
      <c r="D37" s="20"/>
      <c r="E37" s="20"/>
      <c r="F37" s="22" t="s">
        <v>503</v>
      </c>
      <c r="G37" s="133">
        <f>STDEV(G4,G6,G14)</f>
        <v>0.44148150837077393</v>
      </c>
      <c r="H37" s="134">
        <f t="shared" ref="H37:R37" si="7">STDEV(H4,H6,H14)</f>
        <v>0.11740114356688922</v>
      </c>
      <c r="I37" s="134">
        <f t="shared" si="7"/>
        <v>0.27946853728699694</v>
      </c>
      <c r="J37" s="6">
        <f t="shared" si="7"/>
        <v>74.625729030498178</v>
      </c>
      <c r="K37" s="9">
        <f t="shared" si="7"/>
        <v>9.8550197778847721</v>
      </c>
      <c r="L37" s="9">
        <f t="shared" si="7"/>
        <v>9.9938413587235715</v>
      </c>
      <c r="M37" s="9">
        <f t="shared" si="7"/>
        <v>1.75695212323311</v>
      </c>
      <c r="N37" s="9">
        <f t="shared" si="7"/>
        <v>0.10217531080125516</v>
      </c>
      <c r="O37" s="9">
        <f t="shared" si="7"/>
        <v>0.10285690822205454</v>
      </c>
      <c r="P37" s="109">
        <f t="shared" si="7"/>
        <v>5.001175508277983E-2</v>
      </c>
      <c r="Q37" s="68">
        <f t="shared" si="7"/>
        <v>1.1583905582410627E-2</v>
      </c>
      <c r="R37" s="68">
        <f t="shared" si="7"/>
        <v>1.0634210535238138E-2</v>
      </c>
      <c r="S37" s="11"/>
      <c r="T37" s="11"/>
      <c r="U37" s="11"/>
      <c r="W37" s="14"/>
      <c r="X37" s="14"/>
      <c r="Y37" s="5"/>
      <c r="Z37" s="5"/>
      <c r="AA37" s="5"/>
      <c r="AB37" s="5"/>
      <c r="AC37" s="5"/>
      <c r="AD37" s="5"/>
      <c r="AE37" s="5"/>
      <c r="AG37" s="5"/>
      <c r="AH37" s="5"/>
      <c r="AI37" s="5"/>
      <c r="AJ37" s="5"/>
      <c r="AK37" s="5"/>
      <c r="AL37" s="5"/>
      <c r="AN37" s="5"/>
      <c r="AO37" s="5"/>
      <c r="AP37" s="5"/>
      <c r="AQ37" s="5"/>
      <c r="AR37" s="5"/>
      <c r="AS37" s="5"/>
      <c r="AT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row>
    <row r="38" spans="1:88" s="37" customFormat="1">
      <c r="A38" s="53"/>
      <c r="B38" s="53"/>
      <c r="C38" s="53"/>
      <c r="D38" s="53"/>
      <c r="E38" s="53"/>
      <c r="F38" s="54" t="s">
        <v>493</v>
      </c>
      <c r="G38" s="55">
        <f>G37/G36</f>
        <v>4.5916024934445049E-2</v>
      </c>
      <c r="H38" s="55">
        <f t="shared" ref="H38:R38" si="8">H37/H36</f>
        <v>0.79144846399521551</v>
      </c>
      <c r="I38" s="55">
        <f t="shared" si="8"/>
        <v>2.4917989094321288E-2</v>
      </c>
      <c r="J38" s="55">
        <f t="shared" si="8"/>
        <v>5.7699859818479381E-2</v>
      </c>
      <c r="K38" s="55">
        <f t="shared" si="8"/>
        <v>0.51641709323443996</v>
      </c>
      <c r="L38" s="55">
        <f t="shared" si="8"/>
        <v>0.21319224637009032</v>
      </c>
      <c r="M38" s="55">
        <f t="shared" si="8"/>
        <v>9.112664666411939E-2</v>
      </c>
      <c r="N38" s="55">
        <f t="shared" si="8"/>
        <v>0.1280871221295202</v>
      </c>
      <c r="O38" s="55">
        <f t="shared" si="8"/>
        <v>0.13575548525143044</v>
      </c>
      <c r="P38" s="55">
        <f t="shared" si="8"/>
        <v>0.11953560796196666</v>
      </c>
      <c r="Q38" s="55">
        <f t="shared" si="8"/>
        <v>1.1748458712574565E-2</v>
      </c>
      <c r="R38" s="55">
        <f t="shared" si="8"/>
        <v>1.0888953287575592E-2</v>
      </c>
      <c r="S38" s="55"/>
      <c r="T38" s="55"/>
      <c r="U38" s="55"/>
      <c r="W38" s="57"/>
      <c r="X38" s="56"/>
      <c r="Y38" s="55"/>
      <c r="Z38" s="55"/>
      <c r="AA38" s="55"/>
      <c r="AB38" s="55"/>
      <c r="AC38" s="55"/>
      <c r="AD38" s="55"/>
      <c r="AE38" s="55"/>
      <c r="AG38" s="55"/>
      <c r="AH38" s="55"/>
      <c r="AI38" s="55"/>
      <c r="AJ38" s="55"/>
      <c r="AK38" s="55"/>
      <c r="AL38" s="55"/>
      <c r="AN38" s="55"/>
      <c r="AO38" s="55"/>
      <c r="AP38" s="55"/>
      <c r="AQ38" s="55"/>
      <c r="AR38" s="55"/>
      <c r="AS38" s="55"/>
      <c r="AT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row>
    <row r="39" spans="1:88">
      <c r="A39" s="20"/>
      <c r="B39" s="20"/>
      <c r="C39" s="20" t="s">
        <v>500</v>
      </c>
      <c r="D39" s="20" t="s">
        <v>505</v>
      </c>
      <c r="E39" s="20" t="s">
        <v>505</v>
      </c>
      <c r="F39" s="22" t="s">
        <v>502</v>
      </c>
      <c r="G39" s="133">
        <f>AVERAGE(G8,G10,G12)</f>
        <v>10.5159</v>
      </c>
      <c r="H39" s="134">
        <f t="shared" ref="H39:R39" si="9">AVERAGE(H8,H10,H12)</f>
        <v>0.23972599999999999</v>
      </c>
      <c r="I39" s="134">
        <f t="shared" si="9"/>
        <v>9.9292266666666666</v>
      </c>
      <c r="J39" s="6">
        <f t="shared" si="9"/>
        <v>988.99766666666665</v>
      </c>
      <c r="K39" s="9">
        <f t="shared" si="9"/>
        <v>18.728433333333331</v>
      </c>
      <c r="L39" s="9">
        <f t="shared" si="9"/>
        <v>39.137599999999999</v>
      </c>
      <c r="M39" s="9">
        <f t="shared" si="9"/>
        <v>16.582750000000001</v>
      </c>
      <c r="N39" s="9">
        <f t="shared" si="9"/>
        <v>0.47950133333333333</v>
      </c>
      <c r="O39" s="9">
        <f t="shared" si="9"/>
        <v>0.45547766666666661</v>
      </c>
      <c r="P39" s="109">
        <f t="shared" si="9"/>
        <v>0.44470896247037245</v>
      </c>
      <c r="Q39" s="68">
        <f t="shared" si="9"/>
        <v>0.97642492458179386</v>
      </c>
      <c r="R39" s="68">
        <f t="shared" si="9"/>
        <v>0.96104660406763553</v>
      </c>
      <c r="S39" s="11"/>
      <c r="T39" s="11"/>
      <c r="U39" s="11"/>
      <c r="W39" s="14"/>
      <c r="X39" s="14"/>
      <c r="Y39" s="5"/>
      <c r="Z39" s="5"/>
      <c r="AA39" s="5"/>
      <c r="AB39" s="5"/>
      <c r="AC39" s="5"/>
      <c r="AD39" s="5"/>
      <c r="AE39" s="5"/>
      <c r="AG39" s="5"/>
      <c r="AH39" s="5"/>
      <c r="AI39" s="5"/>
      <c r="AJ39" s="5"/>
      <c r="AK39" s="5"/>
      <c r="AL39" s="5"/>
      <c r="AN39" s="5"/>
      <c r="AO39" s="5"/>
      <c r="AP39" s="5"/>
      <c r="AQ39" s="5"/>
      <c r="AR39" s="5"/>
      <c r="AS39" s="5"/>
      <c r="AT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row>
    <row r="40" spans="1:88">
      <c r="A40" s="20"/>
      <c r="B40" s="20"/>
      <c r="C40" s="20"/>
      <c r="D40" s="20"/>
      <c r="E40" s="20"/>
      <c r="F40" s="22" t="s">
        <v>503</v>
      </c>
      <c r="G40" s="133">
        <f>STDEV(G8,G10,G12)</f>
        <v>2.7474238497181358</v>
      </c>
      <c r="H40" s="134">
        <f t="shared" ref="H40:R40" si="10">STDEV(H8,H10,H12)</f>
        <v>9.7333867605268978E-2</v>
      </c>
      <c r="I40" s="134">
        <f t="shared" si="10"/>
        <v>2.8851387488530471</v>
      </c>
      <c r="J40" s="6">
        <f t="shared" si="10"/>
        <v>106.17523395940005</v>
      </c>
      <c r="K40" s="9">
        <f t="shared" si="10"/>
        <v>4.4797368910833848</v>
      </c>
      <c r="L40" s="9">
        <f t="shared" si="10"/>
        <v>3.7741630979596006</v>
      </c>
      <c r="M40" s="9">
        <f t="shared" si="10"/>
        <v>3.1871423948421236</v>
      </c>
      <c r="N40" s="9">
        <f t="shared" si="10"/>
        <v>0.14194316572605165</v>
      </c>
      <c r="O40" s="9">
        <f t="shared" si="10"/>
        <v>0.1414925647740311</v>
      </c>
      <c r="P40" s="109">
        <f t="shared" si="10"/>
        <v>0.13696456368566076</v>
      </c>
      <c r="Q40" s="68">
        <f t="shared" si="10"/>
        <v>1.5384096668105314E-2</v>
      </c>
      <c r="R40" s="68">
        <f t="shared" si="10"/>
        <v>1.7579237592321887E-2</v>
      </c>
      <c r="S40" s="11"/>
      <c r="T40" s="11"/>
      <c r="U40" s="11"/>
      <c r="W40" s="14"/>
      <c r="X40" s="14"/>
      <c r="Y40" s="5"/>
      <c r="Z40" s="5"/>
      <c r="AA40" s="5"/>
      <c r="AB40" s="5"/>
      <c r="AC40" s="5"/>
      <c r="AD40" s="5"/>
      <c r="AE40" s="5"/>
      <c r="AG40" s="5"/>
      <c r="AH40" s="5"/>
      <c r="AI40" s="5"/>
      <c r="AJ40" s="5"/>
      <c r="AK40" s="5"/>
      <c r="AL40" s="5"/>
      <c r="AN40" s="5"/>
      <c r="AO40" s="5"/>
      <c r="AP40" s="5"/>
      <c r="AQ40" s="5"/>
      <c r="AR40" s="5"/>
      <c r="AS40" s="5"/>
      <c r="AT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row>
    <row r="41" spans="1:88" s="37" customFormat="1">
      <c r="A41" s="53"/>
      <c r="B41" s="53"/>
      <c r="C41" s="53"/>
      <c r="D41" s="53"/>
      <c r="E41" s="54"/>
      <c r="F41" s="54" t="s">
        <v>493</v>
      </c>
      <c r="G41" s="55">
        <f>G40/G39</f>
        <v>0.26126378623970709</v>
      </c>
      <c r="H41" s="55">
        <f t="shared" ref="H41:R41" si="11">H40/H39</f>
        <v>0.40602132269870178</v>
      </c>
      <c r="I41" s="55">
        <f t="shared" si="11"/>
        <v>0.29057033802428189</v>
      </c>
      <c r="J41" s="55">
        <f t="shared" si="11"/>
        <v>0.10735640491170695</v>
      </c>
      <c r="K41" s="55">
        <f t="shared" si="11"/>
        <v>0.23919442760384221</v>
      </c>
      <c r="L41" s="55">
        <f t="shared" si="11"/>
        <v>9.6433176739493504E-2</v>
      </c>
      <c r="M41" s="55">
        <f t="shared" si="11"/>
        <v>0.19219625181843322</v>
      </c>
      <c r="N41" s="55">
        <f t="shared" si="11"/>
        <v>0.29602246304365848</v>
      </c>
      <c r="O41" s="55">
        <f t="shared" si="11"/>
        <v>0.31064654785276219</v>
      </c>
      <c r="P41" s="55">
        <f t="shared" si="11"/>
        <v>0.3079869650587167</v>
      </c>
      <c r="Q41" s="55">
        <f t="shared" si="11"/>
        <v>1.5755534584181548E-2</v>
      </c>
      <c r="R41" s="55">
        <f t="shared" si="11"/>
        <v>1.8291763914380071E-2</v>
      </c>
      <c r="S41" s="55"/>
      <c r="T41" s="55"/>
      <c r="U41" s="55"/>
      <c r="W41" s="56"/>
      <c r="X41" s="56"/>
      <c r="Y41" s="55"/>
      <c r="Z41" s="55"/>
      <c r="AA41" s="55"/>
      <c r="AB41" s="55"/>
      <c r="AC41" s="55"/>
      <c r="AD41" s="55"/>
      <c r="AE41" s="55"/>
      <c r="AG41" s="55"/>
      <c r="AH41" s="55"/>
      <c r="AI41" s="55"/>
      <c r="AJ41" s="55"/>
      <c r="AK41" s="55"/>
      <c r="AL41" s="55"/>
      <c r="AN41" s="55"/>
      <c r="AO41" s="55"/>
      <c r="AP41" s="55"/>
      <c r="AQ41" s="55"/>
      <c r="AR41" s="55"/>
      <c r="AS41" s="55"/>
      <c r="AT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row>
    <row r="42" spans="1:88">
      <c r="A42" s="20"/>
      <c r="B42" s="20"/>
      <c r="C42" s="20" t="s">
        <v>506</v>
      </c>
      <c r="D42" s="20" t="s">
        <v>501</v>
      </c>
      <c r="E42" s="20" t="s">
        <v>501</v>
      </c>
      <c r="F42" s="22" t="s">
        <v>502</v>
      </c>
      <c r="G42" s="133">
        <f>AVERAGE(G15,G17,G19,G21,G23)</f>
        <v>9.3216900000000003</v>
      </c>
      <c r="H42" s="134">
        <f t="shared" ref="H42:R42" si="12">AVERAGE(H15,H17,H19,H21,H23)</f>
        <v>0.8376768</v>
      </c>
      <c r="I42" s="134">
        <f t="shared" si="12"/>
        <v>10.686975999999998</v>
      </c>
      <c r="J42" s="6">
        <f t="shared" si="12"/>
        <v>2224.8040000000001</v>
      </c>
      <c r="K42" s="9">
        <f t="shared" si="12"/>
        <v>125.70840000000001</v>
      </c>
      <c r="L42" s="9">
        <f t="shared" si="12"/>
        <v>92.260640000000009</v>
      </c>
      <c r="M42" s="9">
        <f t="shared" si="12"/>
        <v>17.686719999999998</v>
      </c>
      <c r="N42" s="9">
        <f t="shared" si="12"/>
        <v>1.5464300000000002</v>
      </c>
      <c r="O42" s="9">
        <f t="shared" si="12"/>
        <v>1.4289960000000002</v>
      </c>
      <c r="P42" s="109">
        <f t="shared" si="12"/>
        <v>0.19507256618011057</v>
      </c>
      <c r="Q42" s="68">
        <f t="shared" si="12"/>
        <v>0.91815072846883639</v>
      </c>
      <c r="R42" s="68">
        <f t="shared" si="12"/>
        <v>0.93100652800798156</v>
      </c>
      <c r="S42" s="11"/>
      <c r="T42" s="11"/>
      <c r="U42" s="11"/>
      <c r="W42" s="14"/>
      <c r="X42" s="14"/>
      <c r="Y42" s="5"/>
      <c r="Z42" s="5"/>
      <c r="AA42" s="5"/>
      <c r="AB42" s="5"/>
      <c r="AC42" s="5"/>
      <c r="AD42" s="5"/>
      <c r="AE42" s="5"/>
      <c r="AG42" s="5"/>
      <c r="AH42" s="5"/>
      <c r="AI42" s="5"/>
      <c r="AJ42" s="5"/>
      <c r="AK42" s="5"/>
      <c r="AL42" s="5"/>
      <c r="AN42" s="5"/>
      <c r="AO42" s="5"/>
      <c r="AP42" s="5"/>
      <c r="AQ42" s="5"/>
      <c r="AR42" s="5"/>
      <c r="AS42" s="5"/>
      <c r="AT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row>
    <row r="43" spans="1:88">
      <c r="A43" s="20"/>
      <c r="B43" s="20"/>
      <c r="C43" s="20"/>
      <c r="D43" s="20"/>
      <c r="E43" s="20"/>
      <c r="F43" s="22" t="s">
        <v>503</v>
      </c>
      <c r="G43" s="133">
        <f>STDEV(G15,G17,G19,G21,G23)</f>
        <v>1.4675799655896138</v>
      </c>
      <c r="H43" s="134">
        <f t="shared" ref="H43:R43" si="13">STDEV(H15,H17,H19,H21,H23)</f>
        <v>0.36770378800292491</v>
      </c>
      <c r="I43" s="134">
        <f t="shared" si="13"/>
        <v>1.4406442673609776</v>
      </c>
      <c r="J43" s="6">
        <f t="shared" si="13"/>
        <v>468.60745926628124</v>
      </c>
      <c r="K43" s="9">
        <f t="shared" si="13"/>
        <v>52.434857756982588</v>
      </c>
      <c r="L43" s="9">
        <f t="shared" si="13"/>
        <v>48.359586106096891</v>
      </c>
      <c r="M43" s="9">
        <f t="shared" si="13"/>
        <v>9.3495647720629282</v>
      </c>
      <c r="N43" s="9">
        <f t="shared" si="13"/>
        <v>0.49185124402607666</v>
      </c>
      <c r="O43" s="9">
        <f t="shared" si="13"/>
        <v>0.43850112774085265</v>
      </c>
      <c r="P43" s="109">
        <f t="shared" si="13"/>
        <v>3.8258488221312295E-2</v>
      </c>
      <c r="Q43" s="68">
        <f t="shared" si="13"/>
        <v>3.3360426272916154E-2</v>
      </c>
      <c r="R43" s="68">
        <f t="shared" si="13"/>
        <v>2.7692430296468434E-2</v>
      </c>
      <c r="S43" s="11"/>
      <c r="T43" s="11"/>
      <c r="U43" s="11"/>
      <c r="W43" s="14"/>
      <c r="X43" s="14"/>
      <c r="Y43" s="5"/>
      <c r="Z43" s="5"/>
      <c r="AA43" s="5"/>
      <c r="AB43" s="5"/>
      <c r="AC43" s="5"/>
      <c r="AD43" s="5"/>
      <c r="AE43" s="5"/>
      <c r="AG43" s="5"/>
      <c r="AH43" s="5"/>
      <c r="AI43" s="5"/>
      <c r="AJ43" s="5"/>
      <c r="AK43" s="5"/>
      <c r="AL43" s="5"/>
      <c r="AN43" s="5"/>
      <c r="AO43" s="5"/>
      <c r="AP43" s="5"/>
      <c r="AQ43" s="5"/>
      <c r="AR43" s="5"/>
      <c r="AS43" s="5"/>
      <c r="AT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row>
    <row r="44" spans="1:88" s="37" customFormat="1">
      <c r="A44" s="58"/>
      <c r="B44" s="59"/>
      <c r="C44" s="59"/>
      <c r="D44" s="59"/>
      <c r="E44" s="53"/>
      <c r="F44" s="54" t="s">
        <v>493</v>
      </c>
      <c r="G44" s="55">
        <f>G43/G42</f>
        <v>0.15743711339785102</v>
      </c>
      <c r="H44" s="55">
        <f t="shared" ref="H44:R44" si="14">H43/H42</f>
        <v>0.43895663339718244</v>
      </c>
      <c r="I44" s="55">
        <f t="shared" si="14"/>
        <v>0.13480373375602023</v>
      </c>
      <c r="J44" s="55">
        <f t="shared" si="14"/>
        <v>0.21062864830622438</v>
      </c>
      <c r="K44" s="55">
        <f t="shared" si="14"/>
        <v>0.41711498799589036</v>
      </c>
      <c r="L44" s="55">
        <f t="shared" si="14"/>
        <v>0.52416269934933124</v>
      </c>
      <c r="M44" s="55">
        <f t="shared" si="14"/>
        <v>0.52862061320939835</v>
      </c>
      <c r="N44" s="55">
        <f t="shared" si="14"/>
        <v>0.31805593788666581</v>
      </c>
      <c r="O44" s="55">
        <f t="shared" si="14"/>
        <v>0.30685959074822644</v>
      </c>
      <c r="P44" s="55">
        <f t="shared" si="14"/>
        <v>0.19612439088943046</v>
      </c>
      <c r="Q44" s="55">
        <f t="shared" si="14"/>
        <v>3.6334367809684166E-2</v>
      </c>
      <c r="R44" s="55">
        <f t="shared" si="14"/>
        <v>2.9744614525657791E-2</v>
      </c>
      <c r="S44" s="60"/>
      <c r="T44" s="60"/>
      <c r="U44" s="60"/>
      <c r="W44" s="56"/>
      <c r="X44" s="56"/>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row>
    <row r="45" spans="1:88">
      <c r="A45" s="20"/>
      <c r="B45" s="20"/>
      <c r="C45" s="20" t="s">
        <v>506</v>
      </c>
      <c r="D45" s="20" t="s">
        <v>504</v>
      </c>
      <c r="E45" s="20" t="s">
        <v>504</v>
      </c>
      <c r="F45" s="22" t="s">
        <v>502</v>
      </c>
      <c r="G45" s="133">
        <f>AVERAGE(G16,G24)</f>
        <v>13.39335</v>
      </c>
      <c r="H45" s="134">
        <f t="shared" ref="H45:R45" si="15">AVERAGE(H16,H24)</f>
        <v>0.1938685</v>
      </c>
      <c r="I45" s="134">
        <f t="shared" si="15"/>
        <v>7.1575600000000001</v>
      </c>
      <c r="J45" s="6">
        <f t="shared" si="15"/>
        <v>1517.095</v>
      </c>
      <c r="K45" s="9">
        <f t="shared" si="15"/>
        <v>22.970199999999998</v>
      </c>
      <c r="L45" s="9">
        <f t="shared" si="15"/>
        <v>29.2349</v>
      </c>
      <c r="M45" s="9">
        <f t="shared" si="15"/>
        <v>13.185499999999999</v>
      </c>
      <c r="N45" s="9">
        <f t="shared" si="15"/>
        <v>1.1845699999999999</v>
      </c>
      <c r="O45" s="9">
        <f t="shared" si="15"/>
        <v>1.1492599999999999</v>
      </c>
      <c r="P45" s="109">
        <f t="shared" si="15"/>
        <v>0.45506235623523139</v>
      </c>
      <c r="Q45" s="68">
        <f t="shared" si="15"/>
        <v>0.98621321951337326</v>
      </c>
      <c r="R45" s="68">
        <f t="shared" si="15"/>
        <v>0.97759750641547005</v>
      </c>
      <c r="S45" s="11"/>
      <c r="T45" s="11"/>
      <c r="U45" s="11"/>
      <c r="W45" s="14"/>
      <c r="X45" s="14"/>
      <c r="Y45" s="5"/>
      <c r="Z45" s="5"/>
      <c r="AA45" s="5"/>
      <c r="AB45" s="5"/>
      <c r="AC45" s="5"/>
      <c r="AD45" s="5"/>
      <c r="AE45" s="5"/>
      <c r="AG45" s="5"/>
      <c r="AH45" s="5"/>
      <c r="AI45" s="5"/>
      <c r="AJ45" s="5"/>
      <c r="AK45" s="5"/>
      <c r="AL45" s="5"/>
      <c r="AN45" s="5"/>
      <c r="AO45" s="5"/>
      <c r="AP45" s="5"/>
      <c r="AQ45" s="5"/>
      <c r="AR45" s="5"/>
      <c r="AS45" s="5"/>
      <c r="AT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row>
    <row r="46" spans="1:88">
      <c r="A46" s="20"/>
      <c r="B46" s="20"/>
      <c r="C46" s="20"/>
      <c r="D46" s="20"/>
      <c r="E46" s="20"/>
      <c r="F46" s="22" t="s">
        <v>503</v>
      </c>
      <c r="G46" s="133">
        <f>ABS(G16-G24)/(0.5*(G16+G24))</f>
        <v>0.10813575393758841</v>
      </c>
      <c r="H46" s="134">
        <f t="shared" ref="H46:R46" si="16">ABS(H16-H24)/(0.5*(H16+H24))</f>
        <v>0.32444156735106522</v>
      </c>
      <c r="I46" s="134">
        <f t="shared" si="16"/>
        <v>0.23891102554501814</v>
      </c>
      <c r="J46" s="6">
        <f t="shared" si="16"/>
        <v>3.019586776042367E-2</v>
      </c>
      <c r="K46" s="9">
        <f t="shared" si="16"/>
        <v>0.19887506421363338</v>
      </c>
      <c r="L46" s="9">
        <f t="shared" si="16"/>
        <v>0.20437901275530279</v>
      </c>
      <c r="M46" s="9">
        <f t="shared" si="16"/>
        <v>3.0761063289219199E-2</v>
      </c>
      <c r="N46" s="9">
        <f t="shared" si="16"/>
        <v>2.6693230454932999E-2</v>
      </c>
      <c r="O46" s="9">
        <f t="shared" si="16"/>
        <v>2.6799853818979116E-2</v>
      </c>
      <c r="P46" s="109">
        <f t="shared" si="16"/>
        <v>0.1738912593902871</v>
      </c>
      <c r="Q46" s="68">
        <f t="shared" si="16"/>
        <v>6.1638171175133405E-3</v>
      </c>
      <c r="R46" s="68">
        <f t="shared" si="16"/>
        <v>5.2769752388910993E-3</v>
      </c>
      <c r="S46" s="11"/>
      <c r="T46" s="11"/>
      <c r="U46" s="11"/>
      <c r="W46" s="14"/>
      <c r="X46" s="14"/>
      <c r="Y46" s="5"/>
      <c r="Z46" s="5"/>
      <c r="AA46" s="5"/>
      <c r="AB46" s="5"/>
      <c r="AC46" s="5"/>
      <c r="AD46" s="5"/>
      <c r="AE46" s="5"/>
      <c r="AG46" s="5"/>
      <c r="AH46" s="5"/>
      <c r="AI46" s="5"/>
      <c r="AJ46" s="5"/>
      <c r="AK46" s="5"/>
      <c r="AL46" s="5"/>
      <c r="AN46" s="5"/>
      <c r="AO46" s="5"/>
      <c r="AP46" s="5"/>
      <c r="AQ46" s="5"/>
      <c r="AR46" s="5"/>
      <c r="AS46" s="5"/>
      <c r="AT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row>
    <row r="47" spans="1:88" s="37" customFormat="1">
      <c r="A47" s="58"/>
      <c r="B47" s="59"/>
      <c r="C47" s="59"/>
      <c r="D47" s="59"/>
      <c r="E47" s="53"/>
      <c r="F47" s="54" t="s">
        <v>493</v>
      </c>
      <c r="G47" s="55">
        <f>G46/G45</f>
        <v>8.0738391767248979E-3</v>
      </c>
      <c r="H47" s="55">
        <f t="shared" ref="H47:R47" si="17">H46/H45</f>
        <v>1.6735135793131179</v>
      </c>
      <c r="I47" s="55">
        <f t="shared" si="17"/>
        <v>3.3378836579088141E-2</v>
      </c>
      <c r="J47" s="55">
        <f t="shared" si="17"/>
        <v>1.9903742191770237E-5</v>
      </c>
      <c r="K47" s="55">
        <f t="shared" si="17"/>
        <v>8.6579596265436692E-3</v>
      </c>
      <c r="L47" s="55">
        <f t="shared" si="17"/>
        <v>6.9909256660807047E-3</v>
      </c>
      <c r="M47" s="55">
        <f t="shared" si="17"/>
        <v>2.3329462886670358E-3</v>
      </c>
      <c r="N47" s="55">
        <f t="shared" si="17"/>
        <v>2.2534109807721792E-2</v>
      </c>
      <c r="O47" s="55">
        <f t="shared" si="17"/>
        <v>2.3319226127228927E-2</v>
      </c>
      <c r="P47" s="55">
        <f t="shared" si="17"/>
        <v>0.38212622293987114</v>
      </c>
      <c r="Q47" s="55">
        <f t="shared" si="17"/>
        <v>6.2499842788101643E-3</v>
      </c>
      <c r="R47" s="55">
        <f t="shared" si="17"/>
        <v>5.3979016970287083E-3</v>
      </c>
      <c r="S47" s="59"/>
      <c r="T47" s="59"/>
      <c r="W47" s="56"/>
      <c r="X47" s="56"/>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row>
    <row r="48" spans="1:88">
      <c r="A48" s="20"/>
      <c r="B48" s="20"/>
      <c r="C48" s="20" t="s">
        <v>506</v>
      </c>
      <c r="D48" s="20" t="s">
        <v>505</v>
      </c>
      <c r="E48" s="20" t="s">
        <v>505</v>
      </c>
      <c r="F48" s="22" t="s">
        <v>502</v>
      </c>
      <c r="G48" s="133">
        <f>AVERAGE(G18,G20,G22)</f>
        <v>12.585833333333333</v>
      </c>
      <c r="H48" s="134">
        <f t="shared" ref="H48:R48" si="18">AVERAGE(H18,H20,H22)</f>
        <v>0.13469316666666667</v>
      </c>
      <c r="I48" s="134">
        <f t="shared" si="18"/>
        <v>7.9071866666666679</v>
      </c>
      <c r="J48" s="6">
        <f t="shared" si="18"/>
        <v>1083.3166666666666</v>
      </c>
      <c r="K48" s="9">
        <f t="shared" si="18"/>
        <v>8.0722599999999982</v>
      </c>
      <c r="L48" s="9">
        <f t="shared" si="18"/>
        <v>22.406199999999998</v>
      </c>
      <c r="M48" s="9">
        <f t="shared" si="18"/>
        <v>13.665799999999999</v>
      </c>
      <c r="N48" s="9">
        <f t="shared" si="18"/>
        <v>0.89391366666666661</v>
      </c>
      <c r="O48" s="9">
        <f t="shared" si="18"/>
        <v>0.8577366666666667</v>
      </c>
      <c r="P48" s="109">
        <f t="shared" si="18"/>
        <v>0.61321309558865156</v>
      </c>
      <c r="Q48" s="68">
        <f t="shared" si="18"/>
        <v>0.99022706807572147</v>
      </c>
      <c r="R48" s="68">
        <f t="shared" si="18"/>
        <v>0.98569105361761222</v>
      </c>
      <c r="S48" s="11"/>
      <c r="T48" s="11"/>
      <c r="U48" s="11"/>
      <c r="W48" s="14"/>
      <c r="X48" s="14"/>
      <c r="Y48" s="5"/>
      <c r="Z48" s="5"/>
      <c r="AA48" s="5"/>
      <c r="AB48" s="5"/>
      <c r="AC48" s="5"/>
      <c r="AD48" s="5"/>
      <c r="AE48" s="5"/>
      <c r="AG48" s="5"/>
      <c r="AH48" s="5"/>
      <c r="AI48" s="5"/>
      <c r="AJ48" s="5"/>
      <c r="AK48" s="5"/>
      <c r="AL48" s="5"/>
      <c r="AN48" s="5"/>
      <c r="AO48" s="5"/>
      <c r="AP48" s="5"/>
      <c r="AQ48" s="5"/>
      <c r="AR48" s="5"/>
      <c r="AS48" s="5"/>
      <c r="AT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row>
    <row r="49" spans="1:88">
      <c r="A49" s="20"/>
      <c r="B49" s="20"/>
      <c r="C49" s="20"/>
      <c r="D49" s="20"/>
      <c r="E49" s="20"/>
      <c r="F49" s="22" t="s">
        <v>503</v>
      </c>
      <c r="G49" s="133">
        <f>STDEV(G18,G20,G22)</f>
        <v>0.56811301985901852</v>
      </c>
      <c r="H49" s="134">
        <f t="shared" ref="H49:R49" si="19">STDEV(H18,H20,H22)</f>
        <v>5.0352166975050086E-2</v>
      </c>
      <c r="I49" s="134">
        <f t="shared" si="19"/>
        <v>0.61146628642414436</v>
      </c>
      <c r="J49" s="6">
        <f t="shared" si="19"/>
        <v>41.70036610550715</v>
      </c>
      <c r="K49" s="9">
        <f t="shared" si="19"/>
        <v>3.2881051328690831</v>
      </c>
      <c r="L49" s="9">
        <f t="shared" si="19"/>
        <v>2.8791251084314107</v>
      </c>
      <c r="M49" s="9">
        <f t="shared" si="19"/>
        <v>0.84545048347020302</v>
      </c>
      <c r="N49" s="9">
        <f t="shared" si="19"/>
        <v>3.924969351897329E-2</v>
      </c>
      <c r="O49" s="9">
        <f t="shared" si="19"/>
        <v>3.9559021301510164E-2</v>
      </c>
      <c r="P49" s="109">
        <f t="shared" si="19"/>
        <v>3.8919212132111719E-2</v>
      </c>
      <c r="Q49" s="68">
        <f t="shared" si="19"/>
        <v>3.6260932468206858E-3</v>
      </c>
      <c r="R49" s="68">
        <f t="shared" si="19"/>
        <v>4.4878920755768116E-3</v>
      </c>
      <c r="S49" s="11"/>
      <c r="T49" s="11"/>
      <c r="U49" s="11"/>
      <c r="W49" s="14"/>
      <c r="X49" s="14"/>
      <c r="Y49" s="5"/>
      <c r="Z49" s="5"/>
      <c r="AA49" s="5"/>
      <c r="AB49" s="5"/>
      <c r="AC49" s="5"/>
      <c r="AD49" s="5"/>
      <c r="AE49" s="5"/>
      <c r="AG49" s="5"/>
      <c r="AH49" s="5"/>
      <c r="AI49" s="5"/>
      <c r="AJ49" s="5"/>
      <c r="AK49" s="5"/>
      <c r="AL49" s="5"/>
      <c r="AN49" s="5"/>
      <c r="AO49" s="5"/>
      <c r="AP49" s="5"/>
      <c r="AQ49" s="5"/>
      <c r="AR49" s="5"/>
      <c r="AS49" s="5"/>
      <c r="AT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row>
    <row r="50" spans="1:88" s="37" customFormat="1">
      <c r="A50" s="58"/>
      <c r="B50" s="59"/>
      <c r="C50" s="59"/>
      <c r="D50" s="59"/>
      <c r="E50" s="54"/>
      <c r="F50" s="54" t="s">
        <v>493</v>
      </c>
      <c r="G50" s="55">
        <f>G49/G48</f>
        <v>4.5139086527896589E-2</v>
      </c>
      <c r="H50" s="55">
        <f t="shared" ref="H50:R50" si="20">H49/H48</f>
        <v>0.37382866719333757</v>
      </c>
      <c r="I50" s="55">
        <f t="shared" si="20"/>
        <v>7.733044788253525E-2</v>
      </c>
      <c r="J50" s="55">
        <f t="shared" si="20"/>
        <v>3.8493237839511828E-2</v>
      </c>
      <c r="K50" s="55">
        <f t="shared" si="20"/>
        <v>0.40733389817338439</v>
      </c>
      <c r="L50" s="55">
        <f t="shared" si="20"/>
        <v>0.12849680483220766</v>
      </c>
      <c r="M50" s="55">
        <f t="shared" si="20"/>
        <v>6.1866153717323763E-2</v>
      </c>
      <c r="N50" s="55">
        <f t="shared" si="20"/>
        <v>4.3907700466569992E-2</v>
      </c>
      <c r="O50" s="55">
        <f t="shared" si="20"/>
        <v>4.6120240440745405E-2</v>
      </c>
      <c r="P50" s="55">
        <f t="shared" si="20"/>
        <v>6.3467679363160653E-2</v>
      </c>
      <c r="Q50" s="55">
        <f t="shared" si="20"/>
        <v>3.6618805562113788E-3</v>
      </c>
      <c r="R50" s="55">
        <f t="shared" si="20"/>
        <v>4.5530412994068212E-3</v>
      </c>
      <c r="S50" s="59"/>
      <c r="T50" s="59"/>
      <c r="W50" s="56"/>
      <c r="X50" s="56"/>
      <c r="Y50" s="55"/>
      <c r="Z50" s="55"/>
      <c r="AA50" s="55"/>
      <c r="AB50" s="55"/>
      <c r="AC50" s="55"/>
      <c r="AD50" s="55"/>
      <c r="AE50" s="55"/>
      <c r="AF50" s="55"/>
      <c r="AG50" s="55"/>
      <c r="AH50" s="55"/>
      <c r="AI50" s="55"/>
      <c r="AJ50" s="55"/>
      <c r="AK50" s="55"/>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c r="CC50" s="55"/>
      <c r="CD50" s="55"/>
      <c r="CE50" s="55"/>
      <c r="CF50" s="55"/>
      <c r="CG50" s="55"/>
      <c r="CH50" s="55"/>
      <c r="CI50" s="55"/>
      <c r="CJ50" s="55"/>
    </row>
    <row r="51" spans="1:88" ht="30">
      <c r="A51" s="4"/>
      <c r="B51" s="3"/>
      <c r="C51" s="3"/>
      <c r="D51" s="3"/>
      <c r="E51" s="22" t="s">
        <v>507</v>
      </c>
      <c r="F51" s="22"/>
      <c r="G51" s="11" t="str">
        <f t="shared" ref="G51:R51" si="21">G1</f>
        <v>Chimney CO2 (%)</v>
      </c>
      <c r="H51" s="11" t="str">
        <f t="shared" si="21"/>
        <v>Chimney CO (%)</v>
      </c>
      <c r="I51" s="11" t="str">
        <f t="shared" si="21"/>
        <v>Chimney O2 (%)</v>
      </c>
      <c r="J51" s="11" t="str">
        <f t="shared" si="21"/>
        <v>CO2 10" (ppm)</v>
      </c>
      <c r="K51" s="11" t="str">
        <f t="shared" si="21"/>
        <v>CO 10" (ppm)</v>
      </c>
      <c r="L51" s="11" t="str">
        <f t="shared" si="21"/>
        <v>THC 10" (ppm)</v>
      </c>
      <c r="M51" s="11" t="str">
        <f t="shared" si="21"/>
        <v>CH4 10" (ppm)</v>
      </c>
      <c r="N51" s="11" t="str">
        <f t="shared" si="21"/>
        <v>NOx 10" (ppm)</v>
      </c>
      <c r="O51" s="11" t="str">
        <f t="shared" si="21"/>
        <v>NO 10" (ppm)</v>
      </c>
      <c r="P51" s="11" t="str">
        <f t="shared" si="21"/>
        <v>CH4/THC</v>
      </c>
      <c r="Q51" s="11" t="str">
        <f t="shared" si="21"/>
        <v>Stack MCE</v>
      </c>
      <c r="R51" s="11" t="str">
        <f t="shared" si="21"/>
        <v>10" MCE</v>
      </c>
      <c r="S51" s="11"/>
      <c r="T51" s="11"/>
      <c r="U51" s="11"/>
      <c r="W51" s="14"/>
      <c r="X51" s="14"/>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row>
    <row r="52" spans="1:88">
      <c r="A52" s="20"/>
      <c r="B52" s="20"/>
      <c r="C52" s="20"/>
      <c r="D52" s="20"/>
      <c r="E52" s="20" t="s">
        <v>500</v>
      </c>
      <c r="F52" s="22" t="s">
        <v>501</v>
      </c>
      <c r="G52" s="133">
        <f t="shared" ref="G52:P52" si="22">G33</f>
        <v>8.9852683333333339</v>
      </c>
      <c r="H52" s="134">
        <f t="shared" si="22"/>
        <v>0.78561333333333339</v>
      </c>
      <c r="I52" s="134">
        <f t="shared" si="22"/>
        <v>11.329028333333333</v>
      </c>
      <c r="J52" s="6">
        <f t="shared" si="22"/>
        <v>2323.52</v>
      </c>
      <c r="K52" s="9">
        <f t="shared" si="22"/>
        <v>126.88516666666665</v>
      </c>
      <c r="L52" s="9">
        <f t="shared" si="22"/>
        <v>84.451733333333337</v>
      </c>
      <c r="M52" s="9">
        <f t="shared" si="22"/>
        <v>17.1038</v>
      </c>
      <c r="N52" s="9">
        <f t="shared" si="22"/>
        <v>1.7637533333333335</v>
      </c>
      <c r="O52" s="9">
        <f t="shared" si="22"/>
        <v>1.5072083333333335</v>
      </c>
      <c r="P52" s="109">
        <f t="shared" si="22"/>
        <v>0.19251183680839271</v>
      </c>
      <c r="Q52" s="68">
        <f t="shared" ref="Q52:R52" si="23">Q33</f>
        <v>0.91973207785132161</v>
      </c>
      <c r="R52" s="68">
        <f t="shared" si="23"/>
        <v>0.93506761751814571</v>
      </c>
      <c r="S52" s="11"/>
      <c r="T52" s="11"/>
      <c r="U52" s="11"/>
      <c r="W52" s="14"/>
      <c r="X52" s="14"/>
      <c r="Y52" s="5"/>
      <c r="Z52" s="5"/>
      <c r="AA52" s="5"/>
      <c r="AB52" s="5"/>
      <c r="AC52" s="5"/>
      <c r="AD52" s="5"/>
      <c r="AE52" s="5"/>
      <c r="AG52" s="5"/>
      <c r="AH52" s="5"/>
      <c r="AI52" s="5"/>
      <c r="AJ52" s="5"/>
      <c r="AK52" s="5"/>
      <c r="AL52" s="5"/>
      <c r="AN52" s="5"/>
      <c r="AO52" s="5"/>
      <c r="AP52" s="5"/>
      <c r="AQ52" s="5"/>
      <c r="AR52" s="5"/>
      <c r="AS52" s="5"/>
      <c r="AT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row>
    <row r="53" spans="1:88">
      <c r="A53" s="20"/>
      <c r="B53" s="20"/>
      <c r="C53" s="20"/>
      <c r="D53" s="20"/>
      <c r="E53" s="20" t="s">
        <v>500</v>
      </c>
      <c r="F53" s="22" t="s">
        <v>504</v>
      </c>
      <c r="G53" s="133">
        <f t="shared" ref="G53:P53" si="24">G36</f>
        <v>9.6149766666666654</v>
      </c>
      <c r="H53" s="134">
        <f t="shared" si="24"/>
        <v>0.14833706666666666</v>
      </c>
      <c r="I53" s="134">
        <f t="shared" si="24"/>
        <v>11.215533333333335</v>
      </c>
      <c r="J53" s="6">
        <f t="shared" si="24"/>
        <v>1293.3433333333332</v>
      </c>
      <c r="K53" s="9">
        <f t="shared" si="24"/>
        <v>19.083449999999999</v>
      </c>
      <c r="L53" s="9">
        <f t="shared" si="24"/>
        <v>46.877133333333326</v>
      </c>
      <c r="M53" s="9">
        <f t="shared" si="24"/>
        <v>19.280333333333335</v>
      </c>
      <c r="N53" s="9">
        <f t="shared" si="24"/>
        <v>0.79770166666666675</v>
      </c>
      <c r="O53" s="9">
        <f t="shared" si="24"/>
        <v>0.75766299999999998</v>
      </c>
      <c r="P53" s="109">
        <f t="shared" si="24"/>
        <v>0.41838374301565739</v>
      </c>
      <c r="Q53" s="68">
        <f t="shared" ref="Q53:R53" si="25">Q36</f>
        <v>0.98599364102222076</v>
      </c>
      <c r="R53" s="68">
        <f t="shared" si="25"/>
        <v>0.97660539579794892</v>
      </c>
      <c r="S53" s="11"/>
      <c r="T53" s="11"/>
      <c r="U53" s="11"/>
      <c r="W53" s="14"/>
      <c r="X53" s="14"/>
      <c r="Y53" s="5"/>
      <c r="Z53" s="5"/>
      <c r="AA53" s="5"/>
      <c r="AB53" s="5"/>
      <c r="AC53" s="5"/>
      <c r="AD53" s="5"/>
      <c r="AE53" s="5"/>
      <c r="AG53" s="5"/>
      <c r="AH53" s="5"/>
      <c r="AI53" s="5"/>
      <c r="AJ53" s="5"/>
      <c r="AK53" s="5"/>
      <c r="AL53" s="5"/>
      <c r="AN53" s="5"/>
      <c r="AO53" s="5"/>
      <c r="AP53" s="5"/>
      <c r="AQ53" s="5"/>
      <c r="AR53" s="5"/>
      <c r="AS53" s="5"/>
      <c r="AT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row>
    <row r="54" spans="1:88">
      <c r="A54" s="20"/>
      <c r="B54" s="20"/>
      <c r="C54" s="20"/>
      <c r="D54" s="20"/>
      <c r="E54" s="20" t="s">
        <v>500</v>
      </c>
      <c r="F54" s="22" t="s">
        <v>505</v>
      </c>
      <c r="G54" s="133">
        <f t="shared" ref="G54:P54" si="26">G39</f>
        <v>10.5159</v>
      </c>
      <c r="H54" s="134">
        <f t="shared" si="26"/>
        <v>0.23972599999999999</v>
      </c>
      <c r="I54" s="134">
        <f t="shared" si="26"/>
        <v>9.9292266666666666</v>
      </c>
      <c r="J54" s="6">
        <f t="shared" si="26"/>
        <v>988.99766666666665</v>
      </c>
      <c r="K54" s="9">
        <f t="shared" si="26"/>
        <v>18.728433333333331</v>
      </c>
      <c r="L54" s="9">
        <f t="shared" si="26"/>
        <v>39.137599999999999</v>
      </c>
      <c r="M54" s="9">
        <f t="shared" si="26"/>
        <v>16.582750000000001</v>
      </c>
      <c r="N54" s="9">
        <f t="shared" si="26"/>
        <v>0.47950133333333333</v>
      </c>
      <c r="O54" s="9">
        <f t="shared" si="26"/>
        <v>0.45547766666666661</v>
      </c>
      <c r="P54" s="109">
        <f t="shared" si="26"/>
        <v>0.44470896247037245</v>
      </c>
      <c r="Q54" s="68">
        <f t="shared" ref="Q54:R54" si="27">Q39</f>
        <v>0.97642492458179386</v>
      </c>
      <c r="R54" s="68">
        <f t="shared" si="27"/>
        <v>0.96104660406763553</v>
      </c>
      <c r="S54" s="11"/>
      <c r="T54" s="11"/>
      <c r="U54" s="11"/>
      <c r="W54" s="14"/>
      <c r="X54" s="14"/>
      <c r="Y54" s="5"/>
      <c r="Z54" s="5"/>
      <c r="AA54" s="5"/>
      <c r="AB54" s="5"/>
      <c r="AC54" s="5"/>
      <c r="AD54" s="5"/>
      <c r="AE54" s="5"/>
      <c r="AG54" s="5"/>
      <c r="AH54" s="5"/>
      <c r="AI54" s="5"/>
      <c r="AJ54" s="5"/>
      <c r="AK54" s="5"/>
      <c r="AL54" s="5"/>
      <c r="AN54" s="5"/>
      <c r="AO54" s="5"/>
      <c r="AP54" s="5"/>
      <c r="AQ54" s="5"/>
      <c r="AR54" s="5"/>
      <c r="AS54" s="5"/>
      <c r="AT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row>
    <row r="55" spans="1:88">
      <c r="A55" s="20"/>
      <c r="B55" s="20"/>
      <c r="C55" s="20"/>
      <c r="D55" s="20"/>
      <c r="E55" s="20" t="s">
        <v>506</v>
      </c>
      <c r="F55" s="22" t="s">
        <v>501</v>
      </c>
      <c r="G55" s="133">
        <f t="shared" ref="G55:P55" si="28">G42</f>
        <v>9.3216900000000003</v>
      </c>
      <c r="H55" s="134">
        <f t="shared" si="28"/>
        <v>0.8376768</v>
      </c>
      <c r="I55" s="134">
        <f t="shared" si="28"/>
        <v>10.686975999999998</v>
      </c>
      <c r="J55" s="6">
        <f t="shared" si="28"/>
        <v>2224.8040000000001</v>
      </c>
      <c r="K55" s="9">
        <f t="shared" si="28"/>
        <v>125.70840000000001</v>
      </c>
      <c r="L55" s="9">
        <f t="shared" si="28"/>
        <v>92.260640000000009</v>
      </c>
      <c r="M55" s="9">
        <f t="shared" si="28"/>
        <v>17.686719999999998</v>
      </c>
      <c r="N55" s="9">
        <f t="shared" si="28"/>
        <v>1.5464300000000002</v>
      </c>
      <c r="O55" s="9">
        <f t="shared" si="28"/>
        <v>1.4289960000000002</v>
      </c>
      <c r="P55" s="109">
        <f t="shared" si="28"/>
        <v>0.19507256618011057</v>
      </c>
      <c r="Q55" s="68">
        <f t="shared" ref="Q55:R55" si="29">Q42</f>
        <v>0.91815072846883639</v>
      </c>
      <c r="R55" s="68">
        <f t="shared" si="29"/>
        <v>0.93100652800798156</v>
      </c>
      <c r="S55" s="11"/>
      <c r="T55" s="11"/>
      <c r="U55" s="11"/>
      <c r="W55" s="14"/>
      <c r="X55" s="14"/>
      <c r="Y55" s="5"/>
      <c r="Z55" s="5"/>
      <c r="AA55" s="5"/>
      <c r="AB55" s="5"/>
      <c r="AC55" s="5"/>
      <c r="AD55" s="5"/>
      <c r="AE55" s="5"/>
      <c r="AG55" s="5"/>
      <c r="AH55" s="5"/>
      <c r="AI55" s="5"/>
      <c r="AJ55" s="5"/>
      <c r="AK55" s="5"/>
      <c r="AL55" s="5"/>
      <c r="AN55" s="5"/>
      <c r="AO55" s="5"/>
      <c r="AP55" s="5"/>
      <c r="AQ55" s="5"/>
      <c r="AR55" s="5"/>
      <c r="AS55" s="5"/>
      <c r="AT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row>
    <row r="56" spans="1:88">
      <c r="A56" s="20"/>
      <c r="B56" s="20"/>
      <c r="C56" s="20"/>
      <c r="D56" s="20"/>
      <c r="E56" s="20" t="s">
        <v>506</v>
      </c>
      <c r="F56" s="22" t="s">
        <v>504</v>
      </c>
      <c r="G56" s="133">
        <f>G45</f>
        <v>13.39335</v>
      </c>
      <c r="H56" s="134">
        <f t="shared" ref="H56:P56" si="30">H45</f>
        <v>0.1938685</v>
      </c>
      <c r="I56" s="134">
        <f t="shared" si="30"/>
        <v>7.1575600000000001</v>
      </c>
      <c r="J56" s="6">
        <f t="shared" si="30"/>
        <v>1517.095</v>
      </c>
      <c r="K56" s="9">
        <f t="shared" si="30"/>
        <v>22.970199999999998</v>
      </c>
      <c r="L56" s="9">
        <f t="shared" si="30"/>
        <v>29.2349</v>
      </c>
      <c r="M56" s="9">
        <f t="shared" si="30"/>
        <v>13.185499999999999</v>
      </c>
      <c r="N56" s="9">
        <f t="shared" si="30"/>
        <v>1.1845699999999999</v>
      </c>
      <c r="O56" s="9">
        <f t="shared" si="30"/>
        <v>1.1492599999999999</v>
      </c>
      <c r="P56" s="109">
        <f t="shared" si="30"/>
        <v>0.45506235623523139</v>
      </c>
      <c r="Q56" s="68">
        <f t="shared" ref="Q56:R56" si="31">Q45</f>
        <v>0.98621321951337326</v>
      </c>
      <c r="R56" s="68">
        <f t="shared" si="31"/>
        <v>0.97759750641547005</v>
      </c>
      <c r="S56" s="11"/>
      <c r="T56" s="11"/>
      <c r="U56" s="11"/>
      <c r="W56" s="14"/>
      <c r="X56" s="14"/>
      <c r="Y56" s="5"/>
      <c r="Z56" s="5"/>
      <c r="AA56" s="5"/>
      <c r="AB56" s="5"/>
      <c r="AC56" s="5"/>
      <c r="AD56" s="5"/>
      <c r="AE56" s="5"/>
      <c r="AG56" s="5"/>
      <c r="AH56" s="5"/>
      <c r="AI56" s="5"/>
      <c r="AJ56" s="5"/>
      <c r="AK56" s="5"/>
      <c r="AL56" s="5"/>
      <c r="AN56" s="5"/>
      <c r="AO56" s="5"/>
      <c r="AP56" s="5"/>
      <c r="AQ56" s="5"/>
      <c r="AR56" s="5"/>
      <c r="AS56" s="5"/>
      <c r="AT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row>
    <row r="57" spans="1:88">
      <c r="A57" s="20"/>
      <c r="B57" s="20"/>
      <c r="C57" s="20"/>
      <c r="D57" s="20"/>
      <c r="E57" s="20" t="s">
        <v>506</v>
      </c>
      <c r="F57" s="22" t="s">
        <v>505</v>
      </c>
      <c r="G57" s="133">
        <f t="shared" ref="G57:P57" si="32">G48</f>
        <v>12.585833333333333</v>
      </c>
      <c r="H57" s="134">
        <f t="shared" si="32"/>
        <v>0.13469316666666667</v>
      </c>
      <c r="I57" s="134">
        <f t="shared" si="32"/>
        <v>7.9071866666666679</v>
      </c>
      <c r="J57" s="6">
        <f t="shared" si="32"/>
        <v>1083.3166666666666</v>
      </c>
      <c r="K57" s="9">
        <f t="shared" si="32"/>
        <v>8.0722599999999982</v>
      </c>
      <c r="L57" s="9">
        <f t="shared" si="32"/>
        <v>22.406199999999998</v>
      </c>
      <c r="M57" s="9">
        <f t="shared" si="32"/>
        <v>13.665799999999999</v>
      </c>
      <c r="N57" s="9">
        <f t="shared" si="32"/>
        <v>0.89391366666666661</v>
      </c>
      <c r="O57" s="9">
        <f t="shared" si="32"/>
        <v>0.8577366666666667</v>
      </c>
      <c r="P57" s="109">
        <f t="shared" si="32"/>
        <v>0.61321309558865156</v>
      </c>
      <c r="Q57" s="68">
        <f t="shared" ref="Q57:R57" si="33">Q48</f>
        <v>0.99022706807572147</v>
      </c>
      <c r="R57" s="68">
        <f t="shared" si="33"/>
        <v>0.98569105361761222</v>
      </c>
      <c r="S57" s="11"/>
      <c r="T57" s="11"/>
      <c r="U57" s="11"/>
      <c r="W57" s="14"/>
      <c r="X57" s="14"/>
      <c r="Y57" s="5"/>
      <c r="Z57" s="5"/>
      <c r="AA57" s="5"/>
      <c r="AB57" s="5"/>
      <c r="AC57" s="5"/>
      <c r="AD57" s="5"/>
      <c r="AE57" s="5"/>
      <c r="AG57" s="5"/>
      <c r="AH57" s="5"/>
      <c r="AI57" s="5"/>
      <c r="AJ57" s="5"/>
      <c r="AK57" s="5"/>
      <c r="AL57" s="5"/>
      <c r="AN57" s="5"/>
      <c r="AO57" s="5"/>
      <c r="AP57" s="5"/>
      <c r="AQ57" s="5"/>
      <c r="AR57" s="5"/>
      <c r="AS57" s="5"/>
      <c r="AT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row>
    <row r="58" spans="1:88">
      <c r="A58" s="20"/>
      <c r="B58" s="20"/>
      <c r="C58" s="20"/>
      <c r="D58" s="20"/>
      <c r="E58" s="20"/>
      <c r="F58" s="22"/>
      <c r="G58" s="133"/>
      <c r="H58" s="134"/>
      <c r="I58" s="134"/>
      <c r="J58" s="6"/>
      <c r="K58" s="9"/>
      <c r="L58" s="9"/>
      <c r="M58" s="9"/>
      <c r="N58" s="9"/>
      <c r="O58" s="9"/>
      <c r="P58" s="109"/>
      <c r="Q58" s="68"/>
      <c r="R58" s="68"/>
      <c r="S58" s="11"/>
      <c r="T58" s="11"/>
      <c r="U58" s="11"/>
      <c r="W58" s="14"/>
      <c r="X58" s="14"/>
      <c r="Y58" s="5"/>
      <c r="Z58" s="5"/>
      <c r="AA58" s="5"/>
      <c r="AB58" s="5"/>
      <c r="AC58" s="5"/>
      <c r="AD58" s="5"/>
      <c r="AE58" s="5"/>
      <c r="AG58" s="5"/>
      <c r="AH58" s="5"/>
      <c r="AI58" s="5"/>
      <c r="AJ58" s="5"/>
      <c r="AK58" s="5"/>
      <c r="AL58" s="5"/>
      <c r="AN58" s="5"/>
      <c r="AO58" s="5"/>
      <c r="AP58" s="5"/>
      <c r="AQ58" s="5"/>
      <c r="AR58" s="5"/>
      <c r="AS58" s="5"/>
      <c r="AT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row>
    <row r="59" spans="1:88">
      <c r="A59" s="20"/>
      <c r="B59" s="20"/>
      <c r="C59" s="20"/>
      <c r="D59" s="20"/>
      <c r="E59" s="20" t="s">
        <v>503</v>
      </c>
      <c r="F59" s="22"/>
      <c r="G59" s="133"/>
      <c r="H59" s="134"/>
      <c r="I59" s="134"/>
      <c r="J59" s="6"/>
      <c r="K59" s="9"/>
      <c r="L59" s="9"/>
      <c r="M59" s="9"/>
      <c r="N59" s="9"/>
      <c r="O59" s="9"/>
      <c r="P59" s="109"/>
      <c r="Q59" s="68"/>
      <c r="R59" s="68"/>
      <c r="S59" s="11"/>
      <c r="T59" s="11"/>
      <c r="U59" s="11"/>
      <c r="W59" s="14"/>
      <c r="X59" s="14"/>
      <c r="Y59" s="5"/>
      <c r="Z59" s="5"/>
      <c r="AA59" s="5"/>
      <c r="AB59" s="5"/>
      <c r="AC59" s="5"/>
      <c r="AD59" s="5"/>
      <c r="AE59" s="5"/>
      <c r="AG59" s="5"/>
      <c r="AH59" s="5"/>
      <c r="AI59" s="5"/>
      <c r="AJ59" s="5"/>
      <c r="AK59" s="5"/>
      <c r="AL59" s="5"/>
      <c r="AN59" s="5"/>
      <c r="AO59" s="5"/>
      <c r="AP59" s="5"/>
      <c r="AQ59" s="5"/>
      <c r="AR59" s="5"/>
      <c r="AS59" s="5"/>
      <c r="AT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row>
    <row r="60" spans="1:88">
      <c r="A60" s="20"/>
      <c r="B60" s="20"/>
      <c r="C60" s="20"/>
      <c r="D60" s="20"/>
      <c r="E60" s="20" t="s">
        <v>500</v>
      </c>
      <c r="F60" s="22" t="str">
        <f t="shared" ref="F60:F65" si="34">F52</f>
        <v>Startup</v>
      </c>
      <c r="G60" s="133">
        <f t="shared" ref="G60:P60" si="35">G34</f>
        <v>0.92546216502711054</v>
      </c>
      <c r="H60" s="134">
        <f t="shared" si="35"/>
        <v>9.2975252444220918E-2</v>
      </c>
      <c r="I60" s="134">
        <f t="shared" si="35"/>
        <v>1.1307877220843294</v>
      </c>
      <c r="J60" s="6">
        <f t="shared" si="35"/>
        <v>341.50810567247197</v>
      </c>
      <c r="K60" s="9">
        <f t="shared" si="35"/>
        <v>23.36589582632493</v>
      </c>
      <c r="L60" s="9">
        <f t="shared" si="35"/>
        <v>13.742837845462105</v>
      </c>
      <c r="M60" s="9">
        <f t="shared" si="35"/>
        <v>1.4787706583510505</v>
      </c>
      <c r="N60" s="9">
        <f t="shared" si="35"/>
        <v>0.38540244408496649</v>
      </c>
      <c r="O60" s="9">
        <f t="shared" si="35"/>
        <v>0.51799221609659951</v>
      </c>
      <c r="P60" s="109">
        <f t="shared" si="35"/>
        <v>2.2149901511415406E-2</v>
      </c>
      <c r="Q60" s="68">
        <f t="shared" ref="Q60:R60" si="36">Q34</f>
        <v>6.2448010642031796E-3</v>
      </c>
      <c r="R60" s="68">
        <f t="shared" si="36"/>
        <v>6.1874038796628436E-3</v>
      </c>
      <c r="S60" s="11"/>
      <c r="T60" s="11"/>
      <c r="U60" s="11"/>
      <c r="W60" s="14"/>
      <c r="X60" s="14"/>
      <c r="Y60" s="5"/>
      <c r="Z60" s="5"/>
      <c r="AA60" s="5"/>
      <c r="AB60" s="5"/>
      <c r="AC60" s="5"/>
      <c r="AD60" s="5"/>
      <c r="AE60" s="5"/>
      <c r="AG60" s="5"/>
      <c r="AH60" s="5"/>
      <c r="AI60" s="5"/>
      <c r="AJ60" s="5"/>
      <c r="AK60" s="5"/>
      <c r="AL60" s="5"/>
      <c r="AN60" s="5"/>
      <c r="AO60" s="5"/>
      <c r="AP60" s="5"/>
      <c r="AQ60" s="5"/>
      <c r="AR60" s="5"/>
      <c r="AS60" s="5"/>
      <c r="AT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row>
    <row r="61" spans="1:88">
      <c r="A61" s="20"/>
      <c r="B61" s="20"/>
      <c r="C61" s="20"/>
      <c r="D61" s="20"/>
      <c r="E61" s="20" t="s">
        <v>500</v>
      </c>
      <c r="F61" s="22" t="str">
        <f t="shared" si="34"/>
        <v>High</v>
      </c>
      <c r="G61" s="133">
        <f t="shared" ref="G61:P61" si="37">G37</f>
        <v>0.44148150837077393</v>
      </c>
      <c r="H61" s="134">
        <f t="shared" si="37"/>
        <v>0.11740114356688922</v>
      </c>
      <c r="I61" s="134">
        <f t="shared" si="37"/>
        <v>0.27946853728699694</v>
      </c>
      <c r="J61" s="6">
        <f t="shared" si="37"/>
        <v>74.625729030498178</v>
      </c>
      <c r="K61" s="9">
        <f t="shared" si="37"/>
        <v>9.8550197778847721</v>
      </c>
      <c r="L61" s="9">
        <f t="shared" si="37"/>
        <v>9.9938413587235715</v>
      </c>
      <c r="M61" s="9">
        <f t="shared" si="37"/>
        <v>1.75695212323311</v>
      </c>
      <c r="N61" s="9">
        <f t="shared" si="37"/>
        <v>0.10217531080125516</v>
      </c>
      <c r="O61" s="9">
        <f t="shared" si="37"/>
        <v>0.10285690822205454</v>
      </c>
      <c r="P61" s="109">
        <f t="shared" si="37"/>
        <v>5.001175508277983E-2</v>
      </c>
      <c r="Q61" s="68">
        <f t="shared" ref="Q61:R61" si="38">Q37</f>
        <v>1.1583905582410627E-2</v>
      </c>
      <c r="R61" s="68">
        <f t="shared" si="38"/>
        <v>1.0634210535238138E-2</v>
      </c>
      <c r="S61" s="11"/>
      <c r="T61" s="11"/>
      <c r="U61" s="11"/>
      <c r="W61" s="14"/>
      <c r="X61" s="14"/>
      <c r="Y61" s="5"/>
      <c r="Z61" s="5"/>
      <c r="AA61" s="5"/>
      <c r="AB61" s="5"/>
      <c r="AC61" s="5"/>
      <c r="AD61" s="5"/>
      <c r="AE61" s="5"/>
      <c r="AG61" s="5"/>
      <c r="AH61" s="5"/>
      <c r="AI61" s="5"/>
      <c r="AJ61" s="5"/>
      <c r="AK61" s="5"/>
      <c r="AL61" s="5"/>
      <c r="AN61" s="5"/>
      <c r="AO61" s="5"/>
      <c r="AP61" s="5"/>
      <c r="AQ61" s="5"/>
      <c r="AR61" s="5"/>
      <c r="AS61" s="5"/>
      <c r="AT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row>
    <row r="62" spans="1:88">
      <c r="A62" s="20"/>
      <c r="B62" s="20"/>
      <c r="C62" s="20"/>
      <c r="D62" s="20"/>
      <c r="E62" s="20" t="s">
        <v>500</v>
      </c>
      <c r="F62" s="22" t="str">
        <f t="shared" si="34"/>
        <v>Low</v>
      </c>
      <c r="G62" s="133">
        <f t="shared" ref="G62:P62" si="39">G40</f>
        <v>2.7474238497181358</v>
      </c>
      <c r="H62" s="134">
        <f t="shared" si="39"/>
        <v>9.7333867605268978E-2</v>
      </c>
      <c r="I62" s="134">
        <f t="shared" si="39"/>
        <v>2.8851387488530471</v>
      </c>
      <c r="J62" s="6">
        <f t="shared" si="39"/>
        <v>106.17523395940005</v>
      </c>
      <c r="K62" s="9">
        <f t="shared" si="39"/>
        <v>4.4797368910833848</v>
      </c>
      <c r="L62" s="9">
        <f t="shared" si="39"/>
        <v>3.7741630979596006</v>
      </c>
      <c r="M62" s="9">
        <f t="shared" si="39"/>
        <v>3.1871423948421236</v>
      </c>
      <c r="N62" s="9">
        <f t="shared" si="39"/>
        <v>0.14194316572605165</v>
      </c>
      <c r="O62" s="9">
        <f t="shared" si="39"/>
        <v>0.1414925647740311</v>
      </c>
      <c r="P62" s="109">
        <f t="shared" si="39"/>
        <v>0.13696456368566076</v>
      </c>
      <c r="Q62" s="68">
        <f t="shared" ref="Q62:R62" si="40">Q40</f>
        <v>1.5384096668105314E-2</v>
      </c>
      <c r="R62" s="68">
        <f t="shared" si="40"/>
        <v>1.7579237592321887E-2</v>
      </c>
      <c r="S62" s="11"/>
      <c r="T62" s="11"/>
      <c r="U62" s="11"/>
      <c r="W62" s="14"/>
      <c r="X62" s="14"/>
      <c r="Y62" s="5"/>
      <c r="Z62" s="5"/>
      <c r="AA62" s="5"/>
      <c r="AB62" s="5"/>
      <c r="AC62" s="5"/>
      <c r="AD62" s="5"/>
      <c r="AE62" s="5"/>
      <c r="AG62" s="5"/>
      <c r="AH62" s="5"/>
      <c r="AI62" s="5"/>
      <c r="AJ62" s="5"/>
      <c r="AK62" s="5"/>
      <c r="AL62" s="5"/>
      <c r="AN62" s="5"/>
      <c r="AO62" s="5"/>
      <c r="AP62" s="5"/>
      <c r="AQ62" s="5"/>
      <c r="AR62" s="5"/>
      <c r="AS62" s="5"/>
      <c r="AT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row>
    <row r="63" spans="1:88">
      <c r="A63" s="20"/>
      <c r="B63" s="20"/>
      <c r="C63" s="20"/>
      <c r="D63" s="20"/>
      <c r="E63" s="20" t="s">
        <v>506</v>
      </c>
      <c r="F63" s="22" t="str">
        <f t="shared" si="34"/>
        <v>Startup</v>
      </c>
      <c r="G63" s="133">
        <f t="shared" ref="G63:P63" si="41">G43</f>
        <v>1.4675799655896138</v>
      </c>
      <c r="H63" s="134">
        <f t="shared" si="41"/>
        <v>0.36770378800292491</v>
      </c>
      <c r="I63" s="134">
        <f t="shared" si="41"/>
        <v>1.4406442673609776</v>
      </c>
      <c r="J63" s="6">
        <f t="shared" si="41"/>
        <v>468.60745926628124</v>
      </c>
      <c r="K63" s="9">
        <f t="shared" si="41"/>
        <v>52.434857756982588</v>
      </c>
      <c r="L63" s="9">
        <f t="shared" si="41"/>
        <v>48.359586106096891</v>
      </c>
      <c r="M63" s="9">
        <f t="shared" si="41"/>
        <v>9.3495647720629282</v>
      </c>
      <c r="N63" s="9">
        <f t="shared" si="41"/>
        <v>0.49185124402607666</v>
      </c>
      <c r="O63" s="9">
        <f t="shared" si="41"/>
        <v>0.43850112774085265</v>
      </c>
      <c r="P63" s="109">
        <f t="shared" si="41"/>
        <v>3.8258488221312295E-2</v>
      </c>
      <c r="Q63" s="68">
        <f t="shared" ref="Q63:R63" si="42">Q43</f>
        <v>3.3360426272916154E-2</v>
      </c>
      <c r="R63" s="68">
        <f t="shared" si="42"/>
        <v>2.7692430296468434E-2</v>
      </c>
      <c r="S63" s="11"/>
      <c r="T63" s="11"/>
      <c r="U63" s="11"/>
      <c r="W63" s="14"/>
      <c r="X63" s="14"/>
      <c r="Y63" s="5"/>
      <c r="Z63" s="5"/>
      <c r="AA63" s="5"/>
      <c r="AB63" s="5"/>
      <c r="AC63" s="5"/>
      <c r="AD63" s="5"/>
      <c r="AE63" s="5"/>
      <c r="AG63" s="5"/>
      <c r="AH63" s="5"/>
      <c r="AI63" s="5"/>
      <c r="AJ63" s="5"/>
      <c r="AK63" s="5"/>
      <c r="AL63" s="5"/>
      <c r="AN63" s="5"/>
      <c r="AO63" s="5"/>
      <c r="AP63" s="5"/>
      <c r="AQ63" s="5"/>
      <c r="AR63" s="5"/>
      <c r="AS63" s="5"/>
      <c r="AT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row>
    <row r="64" spans="1:88">
      <c r="A64" s="20"/>
      <c r="B64" s="20"/>
      <c r="C64" s="20"/>
      <c r="D64" s="20"/>
      <c r="E64" s="20" t="s">
        <v>506</v>
      </c>
      <c r="F64" s="22" t="str">
        <f t="shared" si="34"/>
        <v>High</v>
      </c>
      <c r="G64" s="133">
        <f t="shared" ref="G64:P64" si="43">G46</f>
        <v>0.10813575393758841</v>
      </c>
      <c r="H64" s="134">
        <f t="shared" si="43"/>
        <v>0.32444156735106522</v>
      </c>
      <c r="I64" s="134">
        <f t="shared" si="43"/>
        <v>0.23891102554501814</v>
      </c>
      <c r="J64" s="6">
        <f t="shared" si="43"/>
        <v>3.019586776042367E-2</v>
      </c>
      <c r="K64" s="9">
        <f t="shared" si="43"/>
        <v>0.19887506421363338</v>
      </c>
      <c r="L64" s="9">
        <f t="shared" si="43"/>
        <v>0.20437901275530279</v>
      </c>
      <c r="M64" s="9">
        <f t="shared" si="43"/>
        <v>3.0761063289219199E-2</v>
      </c>
      <c r="N64" s="9">
        <f t="shared" si="43"/>
        <v>2.6693230454932999E-2</v>
      </c>
      <c r="O64" s="9">
        <f t="shared" si="43"/>
        <v>2.6799853818979116E-2</v>
      </c>
      <c r="P64" s="109">
        <f t="shared" si="43"/>
        <v>0.1738912593902871</v>
      </c>
      <c r="Q64" s="68">
        <f t="shared" ref="Q64:R64" si="44">Q46</f>
        <v>6.1638171175133405E-3</v>
      </c>
      <c r="R64" s="68">
        <f t="shared" si="44"/>
        <v>5.2769752388910993E-3</v>
      </c>
      <c r="S64" s="11"/>
      <c r="T64" s="11"/>
      <c r="U64" s="11"/>
      <c r="W64" s="14"/>
      <c r="X64" s="14"/>
      <c r="Y64" s="5"/>
      <c r="Z64" s="5"/>
      <c r="AA64" s="5"/>
      <c r="AB64" s="5"/>
      <c r="AC64" s="5"/>
      <c r="AD64" s="5"/>
      <c r="AE64" s="5"/>
      <c r="AG64" s="5"/>
      <c r="AH64" s="5"/>
      <c r="AI64" s="5"/>
      <c r="AJ64" s="5"/>
      <c r="AK64" s="5"/>
      <c r="AL64" s="5"/>
      <c r="AN64" s="5"/>
      <c r="AO64" s="5"/>
      <c r="AP64" s="5"/>
      <c r="AQ64" s="5"/>
      <c r="AR64" s="5"/>
      <c r="AS64" s="5"/>
      <c r="AT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row>
    <row r="65" spans="1:88">
      <c r="A65" s="20"/>
      <c r="B65" s="20"/>
      <c r="C65" s="20"/>
      <c r="D65" s="20"/>
      <c r="E65" s="20" t="s">
        <v>506</v>
      </c>
      <c r="F65" s="22" t="str">
        <f t="shared" si="34"/>
        <v>Low</v>
      </c>
      <c r="G65" s="133">
        <f t="shared" ref="G65:P65" si="45">G49</f>
        <v>0.56811301985901852</v>
      </c>
      <c r="H65" s="134">
        <f t="shared" si="45"/>
        <v>5.0352166975050086E-2</v>
      </c>
      <c r="I65" s="134">
        <f t="shared" si="45"/>
        <v>0.61146628642414436</v>
      </c>
      <c r="J65" s="6">
        <f t="shared" si="45"/>
        <v>41.70036610550715</v>
      </c>
      <c r="K65" s="9">
        <f t="shared" si="45"/>
        <v>3.2881051328690831</v>
      </c>
      <c r="L65" s="9">
        <f t="shared" si="45"/>
        <v>2.8791251084314107</v>
      </c>
      <c r="M65" s="9">
        <f t="shared" si="45"/>
        <v>0.84545048347020302</v>
      </c>
      <c r="N65" s="9">
        <f t="shared" si="45"/>
        <v>3.924969351897329E-2</v>
      </c>
      <c r="O65" s="9">
        <f t="shared" si="45"/>
        <v>3.9559021301510164E-2</v>
      </c>
      <c r="P65" s="109">
        <f t="shared" si="45"/>
        <v>3.8919212132111719E-2</v>
      </c>
      <c r="Q65" s="68">
        <f t="shared" ref="Q65:R65" si="46">Q49</f>
        <v>3.6260932468206858E-3</v>
      </c>
      <c r="R65" s="68">
        <f t="shared" si="46"/>
        <v>4.4878920755768116E-3</v>
      </c>
      <c r="S65" s="11"/>
      <c r="T65" s="11"/>
      <c r="U65" s="11"/>
      <c r="W65" s="14"/>
      <c r="X65" s="14"/>
      <c r="Y65" s="5"/>
      <c r="Z65" s="5"/>
      <c r="AA65" s="5"/>
      <c r="AB65" s="5"/>
      <c r="AC65" s="5"/>
      <c r="AD65" s="5"/>
      <c r="AE65" s="5"/>
      <c r="AG65" s="5"/>
      <c r="AH65" s="5"/>
      <c r="AI65" s="5"/>
      <c r="AJ65" s="5"/>
      <c r="AK65" s="5"/>
      <c r="AL65" s="5"/>
      <c r="AN65" s="5"/>
      <c r="AO65" s="5"/>
      <c r="AP65" s="5"/>
      <c r="AQ65" s="5"/>
      <c r="AR65" s="5"/>
      <c r="AS65" s="5"/>
      <c r="AT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row>
    <row r="66" spans="1:88">
      <c r="A66" s="20"/>
      <c r="B66" s="20"/>
      <c r="C66" s="20"/>
      <c r="D66" s="20"/>
      <c r="E66" s="20"/>
      <c r="F66" s="22"/>
      <c r="G66" s="133"/>
      <c r="H66" s="134"/>
      <c r="I66" s="134"/>
      <c r="J66" s="6"/>
      <c r="K66" s="9"/>
      <c r="L66" s="9"/>
      <c r="M66" s="9"/>
      <c r="N66" s="9"/>
      <c r="O66" s="9"/>
      <c r="P66" s="109"/>
      <c r="Q66" s="68"/>
      <c r="R66" s="68"/>
      <c r="S66" s="11"/>
      <c r="T66" s="11"/>
      <c r="U66" s="11"/>
      <c r="W66" s="14"/>
      <c r="X66" s="14"/>
      <c r="Y66" s="5"/>
      <c r="Z66" s="5"/>
      <c r="AA66" s="5"/>
      <c r="AB66" s="5"/>
      <c r="AC66" s="5"/>
      <c r="AD66" s="5"/>
      <c r="AE66" s="5"/>
      <c r="AG66" s="5"/>
      <c r="AH66" s="5"/>
      <c r="AI66" s="5"/>
      <c r="AJ66" s="5"/>
      <c r="AK66" s="5"/>
      <c r="AL66" s="5"/>
      <c r="AN66" s="5"/>
      <c r="AO66" s="5"/>
      <c r="AP66" s="5"/>
      <c r="AQ66" s="5"/>
      <c r="AR66" s="5"/>
      <c r="AS66" s="5"/>
      <c r="AT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row>
  </sheetData>
  <conditionalFormatting sqref="Y35">
    <cfRule type="colorScale" priority="131">
      <colorScale>
        <cfvo type="percent" val="0"/>
        <cfvo type="percent" val="100"/>
        <color rgb="FFFCFCFF"/>
        <color rgb="FF63BE7B"/>
      </colorScale>
    </cfRule>
  </conditionalFormatting>
  <conditionalFormatting sqref="Y38">
    <cfRule type="colorScale" priority="130">
      <colorScale>
        <cfvo type="percent" val="0"/>
        <cfvo type="percent" val="100"/>
        <color rgb="FFFCFCFF"/>
        <color rgb="FF63BE7B"/>
      </colorScale>
    </cfRule>
  </conditionalFormatting>
  <conditionalFormatting sqref="Y41">
    <cfRule type="colorScale" priority="129">
      <colorScale>
        <cfvo type="percent" val="0"/>
        <cfvo type="percent" val="100"/>
        <color rgb="FFFCFCFF"/>
        <color rgb="FF63BE7B"/>
      </colorScale>
    </cfRule>
  </conditionalFormatting>
  <conditionalFormatting sqref="Z35">
    <cfRule type="colorScale" priority="128">
      <colorScale>
        <cfvo type="percent" val="0"/>
        <cfvo type="percent" val="100"/>
        <color rgb="FFFCFCFF"/>
        <color rgb="FF63BE7B"/>
      </colorScale>
    </cfRule>
  </conditionalFormatting>
  <conditionalFormatting sqref="Z38">
    <cfRule type="colorScale" priority="127">
      <colorScale>
        <cfvo type="percent" val="0"/>
        <cfvo type="percent" val="100"/>
        <color rgb="FFFCFCFF"/>
        <color rgb="FF63BE7B"/>
      </colorScale>
    </cfRule>
  </conditionalFormatting>
  <conditionalFormatting sqref="Z41">
    <cfRule type="colorScale" priority="126">
      <colorScale>
        <cfvo type="percent" val="0"/>
        <cfvo type="percent" val="100"/>
        <color rgb="FFFCFCFF"/>
        <color rgb="FF63BE7B"/>
      </colorScale>
    </cfRule>
  </conditionalFormatting>
  <conditionalFormatting sqref="AA35">
    <cfRule type="colorScale" priority="125">
      <colorScale>
        <cfvo type="percent" val="0"/>
        <cfvo type="percent" val="100"/>
        <color rgb="FFFCFCFF"/>
        <color rgb="FF63BE7B"/>
      </colorScale>
    </cfRule>
  </conditionalFormatting>
  <conditionalFormatting sqref="AA38">
    <cfRule type="colorScale" priority="124">
      <colorScale>
        <cfvo type="percent" val="0"/>
        <cfvo type="percent" val="100"/>
        <color rgb="FFFCFCFF"/>
        <color rgb="FF63BE7B"/>
      </colorScale>
    </cfRule>
  </conditionalFormatting>
  <conditionalFormatting sqref="AA41">
    <cfRule type="colorScale" priority="123">
      <colorScale>
        <cfvo type="percent" val="0"/>
        <cfvo type="percent" val="100"/>
        <color rgb="FFFCFCFF"/>
        <color rgb="FF63BE7B"/>
      </colorScale>
    </cfRule>
  </conditionalFormatting>
  <conditionalFormatting sqref="AB35">
    <cfRule type="colorScale" priority="122">
      <colorScale>
        <cfvo type="percent" val="0"/>
        <cfvo type="percent" val="100"/>
        <color rgb="FFFCFCFF"/>
        <color rgb="FF63BE7B"/>
      </colorScale>
    </cfRule>
  </conditionalFormatting>
  <conditionalFormatting sqref="AB38">
    <cfRule type="colorScale" priority="121">
      <colorScale>
        <cfvo type="percent" val="0"/>
        <cfvo type="percent" val="100"/>
        <color rgb="FFFCFCFF"/>
        <color rgb="FF63BE7B"/>
      </colorScale>
    </cfRule>
  </conditionalFormatting>
  <conditionalFormatting sqref="AB41">
    <cfRule type="colorScale" priority="120">
      <colorScale>
        <cfvo type="percent" val="0"/>
        <cfvo type="percent" val="100"/>
        <color rgb="FFFCFCFF"/>
        <color rgb="FF63BE7B"/>
      </colorScale>
    </cfRule>
  </conditionalFormatting>
  <conditionalFormatting sqref="AC35">
    <cfRule type="colorScale" priority="119">
      <colorScale>
        <cfvo type="percent" val="0"/>
        <cfvo type="percent" val="100"/>
        <color rgb="FFFCFCFF"/>
        <color rgb="FF63BE7B"/>
      </colorScale>
    </cfRule>
  </conditionalFormatting>
  <conditionalFormatting sqref="AC38">
    <cfRule type="colorScale" priority="118">
      <colorScale>
        <cfvo type="percent" val="0"/>
        <cfvo type="percent" val="100"/>
        <color rgb="FFFCFCFF"/>
        <color rgb="FF63BE7B"/>
      </colorScale>
    </cfRule>
  </conditionalFormatting>
  <conditionalFormatting sqref="AC41">
    <cfRule type="colorScale" priority="117">
      <colorScale>
        <cfvo type="percent" val="0"/>
        <cfvo type="percent" val="100"/>
        <color rgb="FFFCFCFF"/>
        <color rgb="FF63BE7B"/>
      </colorScale>
    </cfRule>
  </conditionalFormatting>
  <conditionalFormatting sqref="AD35">
    <cfRule type="colorScale" priority="116">
      <colorScale>
        <cfvo type="percent" val="0"/>
        <cfvo type="percent" val="100"/>
        <color rgb="FFFCFCFF"/>
        <color rgb="FF63BE7B"/>
      </colorScale>
    </cfRule>
  </conditionalFormatting>
  <conditionalFormatting sqref="AD38">
    <cfRule type="colorScale" priority="115">
      <colorScale>
        <cfvo type="percent" val="0"/>
        <cfvo type="percent" val="100"/>
        <color rgb="FFFCFCFF"/>
        <color rgb="FF63BE7B"/>
      </colorScale>
    </cfRule>
  </conditionalFormatting>
  <conditionalFormatting sqref="AD41">
    <cfRule type="colorScale" priority="114">
      <colorScale>
        <cfvo type="percent" val="0"/>
        <cfvo type="percent" val="100"/>
        <color rgb="FFFCFCFF"/>
        <color rgb="FF63BE7B"/>
      </colorScale>
    </cfRule>
  </conditionalFormatting>
  <conditionalFormatting sqref="AE35">
    <cfRule type="colorScale" priority="113">
      <colorScale>
        <cfvo type="percent" val="0"/>
        <cfvo type="percent" val="100"/>
        <color rgb="FFFCFCFF"/>
        <color rgb="FF63BE7B"/>
      </colorScale>
    </cfRule>
  </conditionalFormatting>
  <conditionalFormatting sqref="AE38">
    <cfRule type="colorScale" priority="112">
      <colorScale>
        <cfvo type="percent" val="0"/>
        <cfvo type="percent" val="100"/>
        <color rgb="FFFCFCFF"/>
        <color rgb="FF63BE7B"/>
      </colorScale>
    </cfRule>
  </conditionalFormatting>
  <conditionalFormatting sqref="AE41">
    <cfRule type="colorScale" priority="111">
      <colorScale>
        <cfvo type="percent" val="0"/>
        <cfvo type="percent" val="100"/>
        <color rgb="FFFCFCFF"/>
        <color rgb="FF63BE7B"/>
      </colorScale>
    </cfRule>
  </conditionalFormatting>
  <conditionalFormatting sqref="AG35">
    <cfRule type="colorScale" priority="110">
      <colorScale>
        <cfvo type="percent" val="0"/>
        <cfvo type="percent" val="100"/>
        <color rgb="FFFCFCFF"/>
        <color rgb="FF63BE7B"/>
      </colorScale>
    </cfRule>
  </conditionalFormatting>
  <conditionalFormatting sqref="AG38">
    <cfRule type="colorScale" priority="109">
      <colorScale>
        <cfvo type="percent" val="0"/>
        <cfvo type="percent" val="100"/>
        <color rgb="FFFCFCFF"/>
        <color rgb="FF63BE7B"/>
      </colorScale>
    </cfRule>
  </conditionalFormatting>
  <conditionalFormatting sqref="AG41">
    <cfRule type="colorScale" priority="108">
      <colorScale>
        <cfvo type="percent" val="0"/>
        <cfvo type="percent" val="100"/>
        <color rgb="FFFCFCFF"/>
        <color rgb="FF63BE7B"/>
      </colorScale>
    </cfRule>
  </conditionalFormatting>
  <conditionalFormatting sqref="AH35">
    <cfRule type="colorScale" priority="107">
      <colorScale>
        <cfvo type="percent" val="0"/>
        <cfvo type="percent" val="100"/>
        <color rgb="FFFCFCFF"/>
        <color rgb="FF63BE7B"/>
      </colorScale>
    </cfRule>
  </conditionalFormatting>
  <conditionalFormatting sqref="AH38">
    <cfRule type="colorScale" priority="106">
      <colorScale>
        <cfvo type="percent" val="0"/>
        <cfvo type="percent" val="100"/>
        <color rgb="FFFCFCFF"/>
        <color rgb="FF63BE7B"/>
      </colorScale>
    </cfRule>
  </conditionalFormatting>
  <conditionalFormatting sqref="AH41">
    <cfRule type="colorScale" priority="105">
      <colorScale>
        <cfvo type="percent" val="0"/>
        <cfvo type="percent" val="100"/>
        <color rgb="FFFCFCFF"/>
        <color rgb="FF63BE7B"/>
      </colorScale>
    </cfRule>
  </conditionalFormatting>
  <conditionalFormatting sqref="AI35">
    <cfRule type="colorScale" priority="104">
      <colorScale>
        <cfvo type="percent" val="0"/>
        <cfvo type="percent" val="100"/>
        <color rgb="FFFCFCFF"/>
        <color rgb="FF63BE7B"/>
      </colorScale>
    </cfRule>
  </conditionalFormatting>
  <conditionalFormatting sqref="AI38">
    <cfRule type="colorScale" priority="103">
      <colorScale>
        <cfvo type="percent" val="0"/>
        <cfvo type="percent" val="100"/>
        <color rgb="FFFCFCFF"/>
        <color rgb="FF63BE7B"/>
      </colorScale>
    </cfRule>
  </conditionalFormatting>
  <conditionalFormatting sqref="AI41">
    <cfRule type="colorScale" priority="102">
      <colorScale>
        <cfvo type="percent" val="0"/>
        <cfvo type="percent" val="100"/>
        <color rgb="FFFCFCFF"/>
        <color rgb="FF63BE7B"/>
      </colorScale>
    </cfRule>
  </conditionalFormatting>
  <conditionalFormatting sqref="AJ35">
    <cfRule type="colorScale" priority="101">
      <colorScale>
        <cfvo type="percent" val="0"/>
        <cfvo type="percent" val="100"/>
        <color rgb="FFFCFCFF"/>
        <color rgb="FF63BE7B"/>
      </colorScale>
    </cfRule>
  </conditionalFormatting>
  <conditionalFormatting sqref="AJ38">
    <cfRule type="colorScale" priority="100">
      <colorScale>
        <cfvo type="percent" val="0"/>
        <cfvo type="percent" val="100"/>
        <color rgb="FFFCFCFF"/>
        <color rgb="FF63BE7B"/>
      </colorScale>
    </cfRule>
  </conditionalFormatting>
  <conditionalFormatting sqref="AJ41">
    <cfRule type="colorScale" priority="99">
      <colorScale>
        <cfvo type="percent" val="0"/>
        <cfvo type="percent" val="100"/>
        <color rgb="FFFCFCFF"/>
        <color rgb="FF63BE7B"/>
      </colorScale>
    </cfRule>
  </conditionalFormatting>
  <conditionalFormatting sqref="AK35">
    <cfRule type="colorScale" priority="98">
      <colorScale>
        <cfvo type="percent" val="0"/>
        <cfvo type="percent" val="100"/>
        <color rgb="FFFCFCFF"/>
        <color rgb="FF63BE7B"/>
      </colorScale>
    </cfRule>
  </conditionalFormatting>
  <conditionalFormatting sqref="AK38">
    <cfRule type="colorScale" priority="97">
      <colorScale>
        <cfvo type="percent" val="0"/>
        <cfvo type="percent" val="100"/>
        <color rgb="FFFCFCFF"/>
        <color rgb="FF63BE7B"/>
      </colorScale>
    </cfRule>
  </conditionalFormatting>
  <conditionalFormatting sqref="AK41">
    <cfRule type="colorScale" priority="96">
      <colorScale>
        <cfvo type="percent" val="0"/>
        <cfvo type="percent" val="100"/>
        <color rgb="FFFCFCFF"/>
        <color rgb="FF63BE7B"/>
      </colorScale>
    </cfRule>
  </conditionalFormatting>
  <conditionalFormatting sqref="AL35">
    <cfRule type="colorScale" priority="95">
      <colorScale>
        <cfvo type="percent" val="0"/>
        <cfvo type="percent" val="100"/>
        <color rgb="FFFCFCFF"/>
        <color rgb="FF63BE7B"/>
      </colorScale>
    </cfRule>
  </conditionalFormatting>
  <conditionalFormatting sqref="AL38">
    <cfRule type="colorScale" priority="94">
      <colorScale>
        <cfvo type="percent" val="0"/>
        <cfvo type="percent" val="100"/>
        <color rgb="FFFCFCFF"/>
        <color rgb="FF63BE7B"/>
      </colorScale>
    </cfRule>
  </conditionalFormatting>
  <conditionalFormatting sqref="AL41">
    <cfRule type="colorScale" priority="93">
      <colorScale>
        <cfvo type="percent" val="0"/>
        <cfvo type="percent" val="100"/>
        <color rgb="FFFCFCFF"/>
        <color rgb="FF63BE7B"/>
      </colorScale>
    </cfRule>
  </conditionalFormatting>
  <conditionalFormatting sqref="AN35">
    <cfRule type="colorScale" priority="92">
      <colorScale>
        <cfvo type="percent" val="0"/>
        <cfvo type="percent" val="100"/>
        <color rgb="FFFCFCFF"/>
        <color rgb="FF63BE7B"/>
      </colorScale>
    </cfRule>
  </conditionalFormatting>
  <conditionalFormatting sqref="AN38">
    <cfRule type="colorScale" priority="91">
      <colorScale>
        <cfvo type="percent" val="0"/>
        <cfvo type="percent" val="100"/>
        <color rgb="FFFCFCFF"/>
        <color rgb="FF63BE7B"/>
      </colorScale>
    </cfRule>
  </conditionalFormatting>
  <conditionalFormatting sqref="AN41">
    <cfRule type="colorScale" priority="90">
      <colorScale>
        <cfvo type="percent" val="0"/>
        <cfvo type="percent" val="100"/>
        <color rgb="FFFCFCFF"/>
        <color rgb="FF63BE7B"/>
      </colorScale>
    </cfRule>
  </conditionalFormatting>
  <conditionalFormatting sqref="AO35:AT35">
    <cfRule type="colorScale" priority="89">
      <colorScale>
        <cfvo type="percent" val="0"/>
        <cfvo type="percent" val="100"/>
        <color rgb="FFFCFCFF"/>
        <color rgb="FF63BE7B"/>
      </colorScale>
    </cfRule>
  </conditionalFormatting>
  <conditionalFormatting sqref="AO38:AT38">
    <cfRule type="colorScale" priority="88">
      <colorScale>
        <cfvo type="percent" val="0"/>
        <cfvo type="percent" val="100"/>
        <color rgb="FFFCFCFF"/>
        <color rgb="FF63BE7B"/>
      </colorScale>
    </cfRule>
  </conditionalFormatting>
  <conditionalFormatting sqref="AO41:AT41">
    <cfRule type="colorScale" priority="87">
      <colorScale>
        <cfvo type="percent" val="0"/>
        <cfvo type="percent" val="100"/>
        <color rgb="FFFCFCFF"/>
        <color rgb="FF63BE7B"/>
      </colorScale>
    </cfRule>
  </conditionalFormatting>
  <conditionalFormatting sqref="AV35:AZ35">
    <cfRule type="colorScale" priority="86">
      <colorScale>
        <cfvo type="percent" val="0"/>
        <cfvo type="percent" val="100"/>
        <color rgb="FFFCFCFF"/>
        <color rgb="FF63BE7B"/>
      </colorScale>
    </cfRule>
  </conditionalFormatting>
  <conditionalFormatting sqref="AV38:AZ38">
    <cfRule type="colorScale" priority="85">
      <colorScale>
        <cfvo type="percent" val="0"/>
        <cfvo type="percent" val="100"/>
        <color rgb="FFFCFCFF"/>
        <color rgb="FF63BE7B"/>
      </colorScale>
    </cfRule>
  </conditionalFormatting>
  <conditionalFormatting sqref="AV41:AZ41">
    <cfRule type="colorScale" priority="84">
      <colorScale>
        <cfvo type="percent" val="0"/>
        <cfvo type="percent" val="100"/>
        <color rgb="FFFCFCFF"/>
        <color rgb="FF63BE7B"/>
      </colorScale>
    </cfRule>
  </conditionalFormatting>
  <conditionalFormatting sqref="BA35:CJ35">
    <cfRule type="colorScale" priority="83">
      <colorScale>
        <cfvo type="percent" val="0"/>
        <cfvo type="percent" val="100"/>
        <color rgb="FFFCFCFF"/>
        <color rgb="FF63BE7B"/>
      </colorScale>
    </cfRule>
  </conditionalFormatting>
  <conditionalFormatting sqref="BA38:CJ38">
    <cfRule type="colorScale" priority="82">
      <colorScale>
        <cfvo type="percent" val="0"/>
        <cfvo type="percent" val="100"/>
        <color rgb="FFFCFCFF"/>
        <color rgb="FF63BE7B"/>
      </colorScale>
    </cfRule>
  </conditionalFormatting>
  <conditionalFormatting sqref="BA41:CJ41">
    <cfRule type="colorScale" priority="81">
      <colorScale>
        <cfvo type="percent" val="0"/>
        <cfvo type="percent" val="100"/>
        <color rgb="FFFCFCFF"/>
        <color rgb="FF63BE7B"/>
      </colorScale>
    </cfRule>
  </conditionalFormatting>
  <conditionalFormatting sqref="Y44:CJ44">
    <cfRule type="colorScale" priority="77">
      <colorScale>
        <cfvo type="percent" val="0"/>
        <cfvo type="percent" val="100"/>
        <color rgb="FFFCFCFF"/>
        <color rgb="FF63BE7B"/>
      </colorScale>
    </cfRule>
  </conditionalFormatting>
  <conditionalFormatting sqref="Y47:CJ47">
    <cfRule type="colorScale" priority="76">
      <colorScale>
        <cfvo type="percent" val="0"/>
        <cfvo type="percent" val="100"/>
        <color rgb="FFFCFCFF"/>
        <color rgb="FF63BE7B"/>
      </colorScale>
    </cfRule>
  </conditionalFormatting>
  <conditionalFormatting sqref="Y50:CJ50">
    <cfRule type="colorScale" priority="75">
      <colorScale>
        <cfvo type="percent" val="0"/>
        <cfvo type="percent" val="100"/>
        <color rgb="FFFCFCFF"/>
        <color rgb="FF63BE7B"/>
      </colorScale>
    </cfRule>
  </conditionalFormatting>
  <conditionalFormatting sqref="G35:R35">
    <cfRule type="colorScale" priority="303">
      <colorScale>
        <cfvo type="percent" val="0"/>
        <cfvo type="percent" val="100"/>
        <color rgb="FFFCFCFF"/>
        <color rgb="FF63BE7B"/>
      </colorScale>
    </cfRule>
  </conditionalFormatting>
  <conditionalFormatting sqref="G38:R38">
    <cfRule type="colorScale" priority="305">
      <colorScale>
        <cfvo type="percent" val="0"/>
        <cfvo type="percent" val="100"/>
        <color rgb="FFFCFCFF"/>
        <color rgb="FF63BE7B"/>
      </colorScale>
    </cfRule>
  </conditionalFormatting>
  <conditionalFormatting sqref="G41:R41">
    <cfRule type="colorScale" priority="307">
      <colorScale>
        <cfvo type="percent" val="0"/>
        <cfvo type="percent" val="100"/>
        <color rgb="FFFCFCFF"/>
        <color rgb="FF63BE7B"/>
      </colorScale>
    </cfRule>
  </conditionalFormatting>
  <conditionalFormatting sqref="G44:R44">
    <cfRule type="colorScale" priority="309">
      <colorScale>
        <cfvo type="percent" val="0"/>
        <cfvo type="percent" val="100"/>
        <color rgb="FFFCFCFF"/>
        <color rgb="FF63BE7B"/>
      </colorScale>
    </cfRule>
  </conditionalFormatting>
  <conditionalFormatting sqref="G47:R47">
    <cfRule type="colorScale" priority="311">
      <colorScale>
        <cfvo type="percent" val="0"/>
        <cfvo type="percent" val="100"/>
        <color rgb="FFFCFCFF"/>
        <color rgb="FF63BE7B"/>
      </colorScale>
    </cfRule>
  </conditionalFormatting>
  <conditionalFormatting sqref="G50:R50">
    <cfRule type="colorScale" priority="313">
      <colorScale>
        <cfvo type="percent" val="0"/>
        <cfvo type="percent" val="100"/>
        <color rgb="FFFCFCFF"/>
        <color rgb="FF63BE7B"/>
      </colorScale>
    </cfRule>
  </conditionalFormatting>
  <conditionalFormatting sqref="T2:AD25">
    <cfRule type="cellIs" dxfId="55" priority="65" operator="equal">
      <formula>"OK"</formula>
    </cfRule>
  </conditionalFormatting>
  <conditionalFormatting sqref="T23:AD23">
    <cfRule type="cellIs" dxfId="54" priority="64" operator="equal">
      <formula>"OK"</formula>
    </cfRule>
  </conditionalFormatting>
  <conditionalFormatting sqref="AB5">
    <cfRule type="cellIs" dxfId="53" priority="57" operator="equal">
      <formula>"OK"</formula>
    </cfRule>
  </conditionalFormatting>
  <conditionalFormatting sqref="AB6">
    <cfRule type="cellIs" dxfId="52" priority="56" operator="equal">
      <formula>"OK"</formula>
    </cfRule>
  </conditionalFormatting>
  <conditionalFormatting sqref="T5:Z5">
    <cfRule type="cellIs" dxfId="51" priority="55" operator="equal">
      <formula>"OK"</formula>
    </cfRule>
  </conditionalFormatting>
  <conditionalFormatting sqref="T6:Z6">
    <cfRule type="cellIs" dxfId="50" priority="54" operator="equal">
      <formula>"OK"</formula>
    </cfRule>
  </conditionalFormatting>
  <conditionalFormatting sqref="AA6">
    <cfRule type="cellIs" dxfId="49" priority="53" operator="equal">
      <formula>"OK"</formula>
    </cfRule>
  </conditionalFormatting>
  <conditionalFormatting sqref="AA5">
    <cfRule type="cellIs" dxfId="48" priority="52" operator="equal">
      <formula>"OK"</formula>
    </cfRule>
  </conditionalFormatting>
  <conditionalFormatting sqref="Y5">
    <cfRule type="containsText" dxfId="47" priority="51" operator="containsText" text="Fail">
      <formula>NOT(ISERROR(SEARCH("Fail",Y5)))</formula>
    </cfRule>
  </conditionalFormatting>
  <conditionalFormatting sqref="T2:AD25">
    <cfRule type="containsText" dxfId="46" priority="49" operator="containsText" text="Fail">
      <formula>NOT(ISERROR(SEARCH("Fail",T2)))</formula>
    </cfRule>
    <cfRule type="containsText" dxfId="45" priority="50" operator="containsText" text="OK">
      <formula>NOT(ISERROR(SEARCH("OK",T2)))</formula>
    </cfRule>
  </conditionalFormatting>
  <conditionalFormatting sqref="T9:Z9">
    <cfRule type="cellIs" dxfId="44" priority="45" operator="equal">
      <formula>"OK"</formula>
    </cfRule>
  </conditionalFormatting>
  <conditionalFormatting sqref="AA9">
    <cfRule type="cellIs" dxfId="43" priority="44" operator="equal">
      <formula>"OK"</formula>
    </cfRule>
  </conditionalFormatting>
  <conditionalFormatting sqref="T10:Z10">
    <cfRule type="cellIs" dxfId="42" priority="43" operator="equal">
      <formula>"OK"</formula>
    </cfRule>
  </conditionalFormatting>
  <conditionalFormatting sqref="AA10">
    <cfRule type="cellIs" dxfId="41" priority="42" operator="equal">
      <formula>"OK"</formula>
    </cfRule>
  </conditionalFormatting>
  <conditionalFormatting sqref="T11:Z11">
    <cfRule type="cellIs" dxfId="40" priority="41" operator="equal">
      <formula>"OK"</formula>
    </cfRule>
  </conditionalFormatting>
  <conditionalFormatting sqref="AA11">
    <cfRule type="cellIs" dxfId="39" priority="40" operator="equal">
      <formula>"OK"</formula>
    </cfRule>
  </conditionalFormatting>
  <conditionalFormatting sqref="T12:Z12">
    <cfRule type="cellIs" dxfId="38" priority="39" operator="equal">
      <formula>"OK"</formula>
    </cfRule>
  </conditionalFormatting>
  <conditionalFormatting sqref="AA12">
    <cfRule type="cellIs" dxfId="37" priority="38" operator="equal">
      <formula>"OK"</formula>
    </cfRule>
  </conditionalFormatting>
  <conditionalFormatting sqref="T13:Z13">
    <cfRule type="cellIs" dxfId="36" priority="37" operator="equal">
      <formula>"OK"</formula>
    </cfRule>
  </conditionalFormatting>
  <conditionalFormatting sqref="AA13">
    <cfRule type="cellIs" dxfId="35" priority="36" operator="equal">
      <formula>"OK"</formula>
    </cfRule>
  </conditionalFormatting>
  <conditionalFormatting sqref="T14:Z14">
    <cfRule type="cellIs" dxfId="34" priority="35" operator="equal">
      <formula>"OK"</formula>
    </cfRule>
  </conditionalFormatting>
  <conditionalFormatting sqref="AA14">
    <cfRule type="cellIs" dxfId="33" priority="34" operator="equal">
      <formula>"OK"</formula>
    </cfRule>
  </conditionalFormatting>
  <conditionalFormatting sqref="T15:Z15">
    <cfRule type="cellIs" dxfId="32" priority="33" operator="equal">
      <formula>"OK"</formula>
    </cfRule>
  </conditionalFormatting>
  <conditionalFormatting sqref="AA15">
    <cfRule type="cellIs" dxfId="31" priority="32" operator="equal">
      <formula>"OK"</formula>
    </cfRule>
  </conditionalFormatting>
  <conditionalFormatting sqref="T16:Z16">
    <cfRule type="cellIs" dxfId="30" priority="31" operator="equal">
      <formula>"OK"</formula>
    </cfRule>
  </conditionalFormatting>
  <conditionalFormatting sqref="AA16">
    <cfRule type="cellIs" dxfId="29" priority="30" operator="equal">
      <formula>"OK"</formula>
    </cfRule>
  </conditionalFormatting>
  <conditionalFormatting sqref="T17:Z17">
    <cfRule type="cellIs" dxfId="28" priority="29" operator="equal">
      <formula>"OK"</formula>
    </cfRule>
  </conditionalFormatting>
  <conditionalFormatting sqref="AA17">
    <cfRule type="cellIs" dxfId="27" priority="28" operator="equal">
      <formula>"OK"</formula>
    </cfRule>
  </conditionalFormatting>
  <conditionalFormatting sqref="T18:Z18">
    <cfRule type="cellIs" dxfId="26" priority="27" operator="equal">
      <formula>"OK"</formula>
    </cfRule>
  </conditionalFormatting>
  <conditionalFormatting sqref="AA18">
    <cfRule type="cellIs" dxfId="25" priority="26" operator="equal">
      <formula>"OK"</formula>
    </cfRule>
  </conditionalFormatting>
  <conditionalFormatting sqref="T19:Z19">
    <cfRule type="cellIs" dxfId="24" priority="25" operator="equal">
      <formula>"OK"</formula>
    </cfRule>
  </conditionalFormatting>
  <conditionalFormatting sqref="AA19">
    <cfRule type="cellIs" dxfId="23" priority="24" operator="equal">
      <formula>"OK"</formula>
    </cfRule>
  </conditionalFormatting>
  <conditionalFormatting sqref="T20:Z20">
    <cfRule type="cellIs" dxfId="22" priority="23" operator="equal">
      <formula>"OK"</formula>
    </cfRule>
  </conditionalFormatting>
  <conditionalFormatting sqref="AA20">
    <cfRule type="cellIs" dxfId="21" priority="22" operator="equal">
      <formula>"OK"</formula>
    </cfRule>
  </conditionalFormatting>
  <conditionalFormatting sqref="T21:Z21">
    <cfRule type="cellIs" dxfId="20" priority="21" operator="equal">
      <formula>"OK"</formula>
    </cfRule>
  </conditionalFormatting>
  <conditionalFormatting sqref="AA21">
    <cfRule type="cellIs" dxfId="19" priority="20" operator="equal">
      <formula>"OK"</formula>
    </cfRule>
  </conditionalFormatting>
  <conditionalFormatting sqref="T22:Z22">
    <cfRule type="cellIs" dxfId="18" priority="19" operator="equal">
      <formula>"OK"</formula>
    </cfRule>
  </conditionalFormatting>
  <conditionalFormatting sqref="AA22">
    <cfRule type="cellIs" dxfId="17" priority="18" operator="equal">
      <formula>"OK"</formula>
    </cfRule>
  </conditionalFormatting>
  <conditionalFormatting sqref="T24:Z24">
    <cfRule type="cellIs" dxfId="16" priority="17" operator="equal">
      <formula>"OK"</formula>
    </cfRule>
  </conditionalFormatting>
  <conditionalFormatting sqref="AA24">
    <cfRule type="cellIs" dxfId="15" priority="16" operator="equal">
      <formula>"OK"</formula>
    </cfRule>
  </conditionalFormatting>
  <conditionalFormatting sqref="T7:Z7">
    <cfRule type="cellIs" dxfId="14" priority="15" operator="equal">
      <formula>"OK"</formula>
    </cfRule>
  </conditionalFormatting>
  <conditionalFormatting sqref="AA7">
    <cfRule type="cellIs" dxfId="13" priority="14" operator="equal">
      <formula>"OK"</formula>
    </cfRule>
  </conditionalFormatting>
  <conditionalFormatting sqref="T8:Z8">
    <cfRule type="cellIs" dxfId="12" priority="13" operator="equal">
      <formula>"OK"</formula>
    </cfRule>
  </conditionalFormatting>
  <conditionalFormatting sqref="AA8">
    <cfRule type="cellIs" dxfId="11" priority="12" operator="equal">
      <formula>"OK"</formula>
    </cfRule>
  </conditionalFormatting>
  <conditionalFormatting sqref="Y8">
    <cfRule type="cellIs" dxfId="10" priority="11" operator="equal">
      <formula>"OK"</formula>
    </cfRule>
  </conditionalFormatting>
  <conditionalFormatting sqref="Z8">
    <cfRule type="cellIs" dxfId="9" priority="10" operator="equal">
      <formula>"OK"</formula>
    </cfRule>
  </conditionalFormatting>
  <conditionalFormatting sqref="T17:Z17">
    <cfRule type="cellIs" dxfId="8" priority="9" operator="equal">
      <formula>"OK"</formula>
    </cfRule>
  </conditionalFormatting>
  <conditionalFormatting sqref="AA17">
    <cfRule type="cellIs" dxfId="7" priority="8" operator="equal">
      <formula>"OK"</formula>
    </cfRule>
  </conditionalFormatting>
  <conditionalFormatting sqref="T18:Z18">
    <cfRule type="cellIs" dxfId="6" priority="7" operator="equal">
      <formula>"OK"</formula>
    </cfRule>
  </conditionalFormatting>
  <conditionalFormatting sqref="AA18">
    <cfRule type="cellIs" dxfId="5" priority="6" operator="equal">
      <formula>"OK"</formula>
    </cfRule>
  </conditionalFormatting>
  <conditionalFormatting sqref="Y6">
    <cfRule type="cellIs" dxfId="4" priority="5" operator="equal">
      <formula>"OK"</formula>
    </cfRule>
  </conditionalFormatting>
  <conditionalFormatting sqref="Y6">
    <cfRule type="containsText" dxfId="3" priority="4" operator="containsText" text="Fail">
      <formula>NOT(ISERROR(SEARCH("Fail",Y6)))</formula>
    </cfRule>
  </conditionalFormatting>
  <conditionalFormatting sqref="Y5">
    <cfRule type="cellIs" dxfId="2" priority="3" operator="equal">
      <formula>"OK"</formula>
    </cfRule>
  </conditionalFormatting>
  <conditionalFormatting sqref="Y5">
    <cfRule type="cellIs" dxfId="1" priority="2" operator="equal">
      <formula>"OK"</formula>
    </cfRule>
  </conditionalFormatting>
  <conditionalFormatting sqref="Y5">
    <cfRule type="containsText" dxfId="0" priority="1" operator="containsText" text="Fail">
      <formula>NOT(ISERROR(SEARCH("Fail",Y5)))</formula>
    </cfRule>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M113"/>
  <sheetViews>
    <sheetView zoomScaleNormal="100" workbookViewId="0">
      <pane xSplit="4" ySplit="1" topLeftCell="AV2" activePane="bottomRight" state="frozenSplit"/>
      <selection pane="topRight" activeCell="A7" sqref="A7"/>
      <selection pane="bottomLeft" activeCell="A7" sqref="A7"/>
      <selection pane="bottomRight" activeCell="A7" sqref="A7"/>
    </sheetView>
  </sheetViews>
  <sheetFormatPr defaultRowHeight="15"/>
  <cols>
    <col min="1" max="1" width="10.85546875" bestFit="1" customWidth="1"/>
    <col min="2" max="2" width="19" bestFit="1" customWidth="1"/>
    <col min="3" max="4" width="14.140625" customWidth="1"/>
    <col min="5" max="6" width="16.85546875" bestFit="1" customWidth="1"/>
    <col min="7" max="17" width="11.140625" customWidth="1"/>
    <col min="18" max="18" width="11.140625" style="2" customWidth="1"/>
    <col min="19" max="22" width="11.140625" customWidth="1"/>
    <col min="30" max="34" width="14.85546875" customWidth="1"/>
  </cols>
  <sheetData>
    <row r="1" spans="1:65" ht="60">
      <c r="A1" s="8" t="s">
        <v>498</v>
      </c>
      <c r="B1" s="8" t="s">
        <v>21</v>
      </c>
      <c r="C1" s="8" t="s">
        <v>23</v>
      </c>
      <c r="D1" s="8" t="s">
        <v>25</v>
      </c>
      <c r="E1" s="8" t="s">
        <v>27</v>
      </c>
      <c r="F1" s="8" t="s">
        <v>29</v>
      </c>
      <c r="G1" s="13" t="s">
        <v>331</v>
      </c>
      <c r="H1" s="13" t="s">
        <v>333</v>
      </c>
      <c r="I1" s="13" t="s">
        <v>335</v>
      </c>
      <c r="J1" s="13" t="s">
        <v>337</v>
      </c>
      <c r="K1" s="13" t="s">
        <v>340</v>
      </c>
      <c r="L1" s="8" t="s">
        <v>545</v>
      </c>
      <c r="M1" s="8" t="s">
        <v>546</v>
      </c>
      <c r="N1" s="8" t="s">
        <v>547</v>
      </c>
      <c r="O1" s="8" t="s">
        <v>548</v>
      </c>
      <c r="P1" s="8" t="s">
        <v>549</v>
      </c>
      <c r="Q1" s="8" t="s">
        <v>550</v>
      </c>
      <c r="R1" s="95" t="s">
        <v>342</v>
      </c>
      <c r="S1" s="8" t="s">
        <v>551</v>
      </c>
      <c r="T1" s="8" t="s">
        <v>552</v>
      </c>
      <c r="U1" s="8" t="s">
        <v>553</v>
      </c>
      <c r="V1" s="8" t="s">
        <v>554</v>
      </c>
      <c r="W1" s="8" t="s">
        <v>555</v>
      </c>
      <c r="X1" s="8" t="s">
        <v>556</v>
      </c>
      <c r="Y1" s="8" t="s">
        <v>557</v>
      </c>
      <c r="Z1" s="41" t="s">
        <v>558</v>
      </c>
      <c r="AA1" s="41" t="s">
        <v>559</v>
      </c>
      <c r="AB1" s="94" t="s">
        <v>560</v>
      </c>
      <c r="AC1" s="94" t="s">
        <v>561</v>
      </c>
      <c r="AD1" s="94" t="s">
        <v>562</v>
      </c>
      <c r="AE1" s="94" t="s">
        <v>563</v>
      </c>
      <c r="AF1" s="94" t="s">
        <v>564</v>
      </c>
      <c r="AG1" s="94" t="s">
        <v>565</v>
      </c>
      <c r="AH1" s="94" t="s">
        <v>566</v>
      </c>
      <c r="AI1" s="94" t="s">
        <v>567</v>
      </c>
      <c r="AJ1" s="94" t="s">
        <v>568</v>
      </c>
      <c r="AK1" s="94" t="s">
        <v>569</v>
      </c>
      <c r="AL1" s="94" t="s">
        <v>570</v>
      </c>
      <c r="AM1" s="94" t="s">
        <v>571</v>
      </c>
      <c r="AN1" s="94" t="s">
        <v>572</v>
      </c>
      <c r="AO1" s="94" t="s">
        <v>573</v>
      </c>
      <c r="AP1" s="94" t="s">
        <v>574</v>
      </c>
      <c r="AQ1" s="94" t="s">
        <v>575</v>
      </c>
      <c r="AR1" s="94" t="s">
        <v>576</v>
      </c>
      <c r="AS1" s="94" t="s">
        <v>577</v>
      </c>
      <c r="AT1" s="94" t="s">
        <v>578</v>
      </c>
      <c r="AU1" s="94" t="s">
        <v>579</v>
      </c>
      <c r="AV1" s="94" t="s">
        <v>580</v>
      </c>
      <c r="AW1" s="94" t="s">
        <v>581</v>
      </c>
      <c r="AX1" s="94" t="s">
        <v>582</v>
      </c>
      <c r="AY1" s="94" t="s">
        <v>583</v>
      </c>
      <c r="AZ1" s="94" t="s">
        <v>584</v>
      </c>
      <c r="BA1" s="94" t="s">
        <v>585</v>
      </c>
      <c r="BB1" s="94" t="s">
        <v>586</v>
      </c>
      <c r="BC1" s="94" t="s">
        <v>587</v>
      </c>
      <c r="BD1" s="94" t="s">
        <v>588</v>
      </c>
      <c r="BE1" s="94" t="s">
        <v>589</v>
      </c>
      <c r="BF1" s="94" t="s">
        <v>590</v>
      </c>
      <c r="BG1" s="94" t="s">
        <v>591</v>
      </c>
      <c r="BH1" s="94" t="s">
        <v>592</v>
      </c>
      <c r="BI1" s="94" t="s">
        <v>593</v>
      </c>
      <c r="BJ1" s="94" t="s">
        <v>594</v>
      </c>
      <c r="BK1" s="94" t="s">
        <v>595</v>
      </c>
      <c r="BL1" s="94" t="s">
        <v>596</v>
      </c>
      <c r="BM1" s="94" t="s">
        <v>597</v>
      </c>
    </row>
    <row r="2" spans="1:65">
      <c r="A2" s="20"/>
      <c r="B2" s="20"/>
      <c r="C2" s="20"/>
      <c r="D2" s="20"/>
      <c r="E2" s="23"/>
      <c r="F2" s="23"/>
      <c r="G2" s="9"/>
      <c r="H2" s="9"/>
      <c r="I2" s="9"/>
      <c r="J2" s="9"/>
      <c r="K2" s="9"/>
      <c r="L2" s="9"/>
      <c r="M2" s="9"/>
      <c r="N2" s="9"/>
      <c r="O2" s="9"/>
      <c r="P2" s="9"/>
      <c r="Q2" s="9"/>
      <c r="S2" s="6"/>
      <c r="T2" s="6"/>
      <c r="U2" s="6"/>
      <c r="V2" s="24"/>
      <c r="W2" s="25"/>
      <c r="X2" s="25"/>
      <c r="AD2" s="23"/>
      <c r="AE2" s="23"/>
      <c r="AF2" s="23"/>
      <c r="AG2" s="23"/>
      <c r="AH2" s="23"/>
    </row>
    <row r="3" spans="1:65">
      <c r="A3" s="20">
        <f>IF(ISBLANK('Phase CEMS PM Concentrations'!A3),"",'Phase CEMS PM Concentrations'!A3)</f>
        <v>44308</v>
      </c>
      <c r="B3" s="20" t="str">
        <f>IF(ISBLANK('Phase CEMS PM Concentrations'!B3),"",'Phase CEMS PM Concentrations'!B3)</f>
        <v>BK Princess</v>
      </c>
      <c r="C3" s="20" t="str">
        <f>IF(ISBLANK('Phase CEMS PM Concentrations'!C3),"",'Phase CEMS PM Concentrations'!C3)</f>
        <v>Wet spruce</v>
      </c>
      <c r="D3" s="20" t="str">
        <f>IF(ISBLANK('Phase CEMS PM Concentrations'!D3),"",'Phase CEMS PM Concentrations'!D3)</f>
        <v>Startup</v>
      </c>
      <c r="E3" s="23">
        <v>44308.381249999999</v>
      </c>
      <c r="F3" s="23">
        <v>44308.405555555553</v>
      </c>
      <c r="G3" s="80">
        <v>0.67550983696479439</v>
      </c>
      <c r="H3" s="80">
        <v>0.93454132190146622</v>
      </c>
      <c r="I3" s="80">
        <v>0.72282500637892289</v>
      </c>
      <c r="J3" s="81">
        <v>57260.673930218487</v>
      </c>
      <c r="K3" s="81">
        <v>84766.602641202902</v>
      </c>
      <c r="L3" s="9">
        <f>44*('Phase CEMS VOC Concentration'!J3-Backgrounds!J3)/ (0.082*('Phase Parameters'!$R3+273.15))</f>
        <v>2857.3488540932822</v>
      </c>
      <c r="M3" s="9">
        <f>28*('Phase CEMS VOC Concentration'!K3-Backgrounds!L3)/ (0.082*('Phase Parameters'!$R3+273.15))</f>
        <v>124.99374946928533</v>
      </c>
      <c r="N3" s="9">
        <f>16.01*('Phase CEMS VOC Concentration'!L3-Backgrounds!M3)/ (0.082*('Phase Parameters'!$R3+273.15))</f>
        <v>54.943463125488428</v>
      </c>
      <c r="O3" s="9">
        <f>16.01*('Phase CEMS VOC Concentration'!M3-Backgrounds!N3)/ (0.082*('Phase Parameters'!$R3+273.15))</f>
        <v>10.574084253880073</v>
      </c>
      <c r="P3" s="9">
        <f>31.61*('Phase CEMS VOC Concentration'!N3-Backgrounds!O3)/ (0.082*('Phase Parameters'!$R3+273.15))</f>
        <v>2.498758472072963</v>
      </c>
      <c r="Q3" s="9">
        <f t="shared" ref="Q3:Q24" si="0">L3*(12/44)+M3*(12/28)+N3*(12/16.01)+O3*(12/16.01)</f>
        <v>881.95317834660682</v>
      </c>
      <c r="R3" s="2">
        <f>$R$27/100</f>
        <v>0.51910000000000001</v>
      </c>
      <c r="S3" s="2">
        <f t="shared" ref="S3:T5" si="1">(L3/$Q3)*$R3*1000</f>
        <v>1681.7783829981356</v>
      </c>
      <c r="T3" s="2">
        <f t="shared" si="1"/>
        <v>73.568820820107717</v>
      </c>
      <c r="U3" s="2">
        <f t="shared" ref="U3:U20" si="2">(N3/$Q3)*$R3*1000</f>
        <v>32.33862341979367</v>
      </c>
      <c r="V3" s="2">
        <f t="shared" ref="V3:V20" si="3">(O3/$Q3)*$R3*1000</f>
        <v>6.2236944896319324</v>
      </c>
      <c r="W3" s="2">
        <f t="shared" ref="W3:W20" si="4">(P3/$Q3)*$R3*1000</f>
        <v>1.4707192566443859</v>
      </c>
      <c r="X3" s="2">
        <f>(('Phase CEMS PM Concentrations'!X3-Backgrounds!S3)/$Q3)*$R3*1000</f>
        <v>0.9872769669273791</v>
      </c>
      <c r="Y3" s="2">
        <f>(('Filter Weights'!CY3)/$Q3)*$R3*1000</f>
        <v>13.620488827628778</v>
      </c>
      <c r="Z3" s="2">
        <f>(('Filter Weights'!EL3)/$Q3)*$R3*1000</f>
        <v>8.4845514687346668</v>
      </c>
      <c r="AA3" s="2">
        <f>(('Filter Weights'!EM3)/$Q3)*$R3*1000</f>
        <v>0.45376630629239384</v>
      </c>
      <c r="AB3" s="18">
        <f>(('Filter Weights'!CZ3)/$Q3)*$R3*1000</f>
        <v>2.6605985176392133E-3</v>
      </c>
      <c r="AC3" s="18">
        <f>(('Filter Weights'!DA3)/$Q3)*$R3*1000</f>
        <v>0</v>
      </c>
      <c r="AD3" s="18">
        <f>(('Filter Weights'!DB3)/$Q3)*$R3*1000</f>
        <v>0</v>
      </c>
      <c r="AE3" s="18">
        <f>(('Filter Weights'!DC3)/$Q3)*$R3*1000</f>
        <v>3.3521836311416599E-4</v>
      </c>
      <c r="AF3" s="18">
        <f>(('Filter Weights'!DD3)/$Q3)*$R3*1000</f>
        <v>0</v>
      </c>
      <c r="AG3" s="18">
        <f>(('Filter Weights'!DE3)/$Q3)*$R3*1000</f>
        <v>1.2211590433928981E-2</v>
      </c>
      <c r="AH3" s="18">
        <f>(('Filter Weights'!DF3)/$Q3)*$R3*1000</f>
        <v>1.1696197876241906E-2</v>
      </c>
      <c r="AI3" s="18">
        <f>(('Filter Weights'!DG3)/$Q3)*$R3*1000</f>
        <v>1.8585539545094783E-2</v>
      </c>
      <c r="AJ3" s="18">
        <f>(('Filter Weights'!DH3)/$Q3)*$R3*1000</f>
        <v>2.923797916947368E-3</v>
      </c>
      <c r="AK3" s="18">
        <f>(('Filter Weights'!DI3)/$Q3)*$R3*1000</f>
        <v>8.4510860336827994E-4</v>
      </c>
      <c r="AL3" s="18">
        <f>(('Filter Weights'!DJ3)/$Q3)*$R3*1000</f>
        <v>4.2121485417542979E-5</v>
      </c>
      <c r="AM3" s="18">
        <f>(('Filter Weights'!DK3)/$Q3)*$R3*1000</f>
        <v>0</v>
      </c>
      <c r="AN3" s="18">
        <f>(('Filter Weights'!DL3)/$Q3)*$R3*1000</f>
        <v>2.2934072344052244E-4</v>
      </c>
      <c r="AO3" s="18">
        <f>(('Filter Weights'!DM3)/$Q3)*$R3*1000</f>
        <v>2.082627857829849E-4</v>
      </c>
      <c r="AP3" s="18">
        <f>(('Filter Weights'!DN3)/$Q3)*$R3*1000</f>
        <v>1.727363180232571E-5</v>
      </c>
      <c r="AQ3" s="18">
        <f>(('Filter Weights'!DO3)/$Q3)*$R3*1000</f>
        <v>4.8159100712206415E-5</v>
      </c>
      <c r="AR3" s="18">
        <f>(('Filter Weights'!DP3)/$Q3)*$R3*1000</f>
        <v>0</v>
      </c>
      <c r="AS3" s="18">
        <f>(('Filter Weights'!DQ3)/$Q3)*$R3*1000</f>
        <v>3.269041998576843E-3</v>
      </c>
      <c r="AT3" s="18">
        <f>(('Filter Weights'!DR3)/$Q3)*$R3*1000</f>
        <v>0</v>
      </c>
      <c r="AU3" s="18">
        <f>(('Filter Weights'!DS3)/$Q3)*$R3*1000</f>
        <v>0</v>
      </c>
      <c r="AV3" s="18">
        <f>(('Filter Weights'!DT3)/$Q3)*$R3*1000</f>
        <v>0</v>
      </c>
      <c r="AW3" s="18">
        <f>(('Filter Weights'!DU3)/$Q3)*$R3*1000</f>
        <v>0</v>
      </c>
      <c r="AX3" s="18">
        <f>(('Filter Weights'!DV3)/$Q3)*$R3*1000</f>
        <v>0</v>
      </c>
      <c r="AY3" s="18">
        <f>(('Filter Weights'!DW3)/$Q3)*$R3*1000</f>
        <v>4.2121485417542979E-5</v>
      </c>
      <c r="AZ3" s="18">
        <f>(('Filter Weights'!DX3)/$Q3)*$R3*1000</f>
        <v>0</v>
      </c>
      <c r="BA3" s="18">
        <f>(('Filter Weights'!DY3)/$Q3)*$R3*1000</f>
        <v>0</v>
      </c>
      <c r="BB3" s="18">
        <f>(('Filter Weights'!DZ3)/$Q3)*$R3*1000</f>
        <v>2.0145058243172734E-5</v>
      </c>
      <c r="BC3" s="18">
        <f>(('Filter Weights'!EA3)/$Q3)*$R3*1000</f>
        <v>0</v>
      </c>
      <c r="BD3" s="18">
        <f>(('Filter Weights'!EB3)/$Q3)*$R3*1000</f>
        <v>0</v>
      </c>
      <c r="BE3" s="18">
        <f>(('Filter Weights'!EC3)/$Q3)*$R3*1000</f>
        <v>0</v>
      </c>
      <c r="BF3" s="18">
        <f>(('Filter Weights'!ED3)/$Q3)*$R3*1000</f>
        <v>1.1898770094857845E-3</v>
      </c>
      <c r="BG3" s="18">
        <f>(('Filter Weights'!EE3)/$Q3)*$R3*1000</f>
        <v>0</v>
      </c>
      <c r="BH3" s="18">
        <f>(('Filter Weights'!EF3)/$Q3)*$R3*1000</f>
        <v>6.6295555309350276E-4</v>
      </c>
      <c r="BI3" s="18">
        <f>(('Filter Weights'!EG3)/$Q3)*$R3*1000</f>
        <v>0</v>
      </c>
      <c r="BJ3" s="18">
        <f>(('Filter Weights'!EH3)/$Q3)*$R3*1000</f>
        <v>0</v>
      </c>
      <c r="BK3" s="18">
        <f>(('Filter Weights'!EI3)/$Q3)*$R3*1000</f>
        <v>0</v>
      </c>
      <c r="BL3" s="18">
        <f>(('Filter Weights'!EJ3)/$Q3)*$R3*1000</f>
        <v>1.6482320380777689E-4</v>
      </c>
      <c r="BM3" s="18">
        <f>(('Filter Weights'!EK3)/$Q3)*$R3*1000</f>
        <v>1.1821823426663242E-5</v>
      </c>
    </row>
    <row r="4" spans="1:65">
      <c r="A4" s="20">
        <f>IF(ISBLANK('Phase CEMS PM Concentrations'!A4),"",'Phase CEMS PM Concentrations'!A4)</f>
        <v>44308</v>
      </c>
      <c r="B4" s="20" t="str">
        <f>IF(ISBLANK('Phase CEMS PM Concentrations'!B4),"",'Phase CEMS PM Concentrations'!B4)</f>
        <v>BK Princess</v>
      </c>
      <c r="C4" s="20" t="str">
        <f>IF(ISBLANK('Phase CEMS PM Concentrations'!C4),"",'Phase CEMS PM Concentrations'!C4)</f>
        <v>Wet spruce</v>
      </c>
      <c r="D4" s="20" t="str">
        <f>IF(ISBLANK('Phase CEMS PM Concentrations'!D4),"",'Phase CEMS PM Concentrations'!D4)</f>
        <v>High</v>
      </c>
      <c r="E4" s="23">
        <v>44308.406944444447</v>
      </c>
      <c r="F4" s="23">
        <v>44308.557638888888</v>
      </c>
      <c r="G4" s="80">
        <v>0.77046497845735695</v>
      </c>
      <c r="H4" s="80">
        <v>0.98702239227331823</v>
      </c>
      <c r="I4" s="80">
        <v>0.78059523723956814</v>
      </c>
      <c r="J4" s="81">
        <v>42208.69900453728</v>
      </c>
      <c r="K4" s="81">
        <v>54783.410258372198</v>
      </c>
      <c r="L4" s="9">
        <f>44*('Phase CEMS VOC Concentration'!J4-Backgrounds!J4)/ (0.082*('Phase Parameters'!$R4+273.15))</f>
        <v>1649.7656974889908</v>
      </c>
      <c r="M4" s="9">
        <f>28*('Phase CEMS VOC Concentration'!K4-Backgrounds!L4)/ (0.082*('Phase Parameters'!$R4+273.15))</f>
        <v>21.169890512889602</v>
      </c>
      <c r="N4" s="9">
        <f>16.01*('Phase CEMS VOC Concentration'!L4-Backgrounds!M4)/ (0.082*('Phase Parameters'!$R4+273.15))</f>
        <v>28.232529132434195</v>
      </c>
      <c r="O4" s="9">
        <f>16.01*('Phase CEMS VOC Concentration'!M4-Backgrounds!N4)/ (0.082*('Phase Parameters'!$R4+273.15))</f>
        <v>11.574858772960152</v>
      </c>
      <c r="P4" s="9">
        <f>31.61*('Phase CEMS VOC Concentration'!N4-Backgrounds!O4)/ (0.082*('Phase Parameters'!$R4+273.15))</f>
        <v>1.1243753417883295</v>
      </c>
      <c r="Q4" s="9">
        <f t="shared" si="0"/>
        <v>488.84580240599047</v>
      </c>
      <c r="R4" s="2">
        <f t="shared" ref="R4:R14" si="5">$R$27/100</f>
        <v>0.51910000000000001</v>
      </c>
      <c r="S4" s="2">
        <f t="shared" si="1"/>
        <v>1751.8681133223547</v>
      </c>
      <c r="T4" s="2">
        <f t="shared" si="1"/>
        <v>22.480074721219136</v>
      </c>
      <c r="U4" s="2">
        <f t="shared" si="2"/>
        <v>29.979813267323653</v>
      </c>
      <c r="V4" s="2">
        <f t="shared" si="3"/>
        <v>12.291215674699602</v>
      </c>
      <c r="W4" s="2">
        <f t="shared" si="4"/>
        <v>1.1939618526939599</v>
      </c>
      <c r="X4" s="2">
        <f>(('Phase CEMS PM Concentrations'!X4-Backgrounds!S4)/$Q4)*$R4*1000</f>
        <v>0.19861455803064129</v>
      </c>
      <c r="Y4" s="2">
        <f>(('Filter Weights'!CY4)/$Q4)*$R4*1000</f>
        <v>5.1083822512528299</v>
      </c>
      <c r="Z4" s="2">
        <f>(('Filter Weights'!EL4)/$Q4)*$R4*1000</f>
        <v>2.6381000383573854</v>
      </c>
      <c r="AA4" s="2">
        <f>(('Filter Weights'!EM4)/$Q4)*$R4*1000</f>
        <v>9.6546223336212447E-2</v>
      </c>
      <c r="AB4" s="18">
        <f>(('Filter Weights'!CZ4)/$Q4)*$R4*1000</f>
        <v>0</v>
      </c>
      <c r="AC4" s="18">
        <f>(('Filter Weights'!DA4)/$Q4)*$R4*1000</f>
        <v>0</v>
      </c>
      <c r="AD4" s="18">
        <f>(('Filter Weights'!DB4)/$Q4)*$R4*1000</f>
        <v>0</v>
      </c>
      <c r="AE4" s="18">
        <f>(('Filter Weights'!DC4)/$Q4)*$R4*1000</f>
        <v>1.1414504158543533E-4</v>
      </c>
      <c r="AF4" s="18">
        <f>(('Filter Weights'!DD4)/$Q4)*$R4*1000</f>
        <v>4.1927472753816468E-5</v>
      </c>
      <c r="AG4" s="18">
        <f>(('Filter Weights'!DE4)/$Q4)*$R4*1000</f>
        <v>8.066787012990715E-3</v>
      </c>
      <c r="AH4" s="18">
        <f>(('Filter Weights'!DF4)/$Q4)*$R4*1000</f>
        <v>5.9843388165916195E-3</v>
      </c>
      <c r="AI4" s="18">
        <f>(('Filter Weights'!DG4)/$Q4)*$R4*1000</f>
        <v>2.5106146049058978E-2</v>
      </c>
      <c r="AJ4" s="18">
        <f>(('Filter Weights'!DH4)/$Q4)*$R4*1000</f>
        <v>3.1805563770419812E-3</v>
      </c>
      <c r="AK4" s="18">
        <f>(('Filter Weights'!DI4)/$Q4)*$R4*1000</f>
        <v>1.898306552405722E-5</v>
      </c>
      <c r="AL4" s="18">
        <f>(('Filter Weights'!DJ4)/$Q4)*$R4*1000</f>
        <v>1.8180284693175191E-5</v>
      </c>
      <c r="AM4" s="18">
        <f>(('Filter Weights'!DK4)/$Q4)*$R4*1000</f>
        <v>0</v>
      </c>
      <c r="AN4" s="18">
        <f>(('Filter Weights'!DL4)/$Q4)*$R4*1000</f>
        <v>4.8897097943017211E-5</v>
      </c>
      <c r="AO4" s="18">
        <f>(('Filter Weights'!DM4)/$Q4)*$R4*1000</f>
        <v>7.125138265481506E-6</v>
      </c>
      <c r="AP4" s="18">
        <f>(('Filter Weights'!DN4)/$Q4)*$R4*1000</f>
        <v>0</v>
      </c>
      <c r="AQ4" s="18">
        <f>(('Filter Weights'!DO4)/$Q4)*$R4*1000</f>
        <v>0</v>
      </c>
      <c r="AR4" s="18">
        <f>(('Filter Weights'!DP4)/$Q4)*$R4*1000</f>
        <v>0</v>
      </c>
      <c r="AS4" s="18">
        <f>(('Filter Weights'!DQ4)/$Q4)*$R4*1000</f>
        <v>3.7184261288032666E-3</v>
      </c>
      <c r="AT4" s="18">
        <f>(('Filter Weights'!DR4)/$Q4)*$R4*1000</f>
        <v>0</v>
      </c>
      <c r="AU4" s="18">
        <f>(('Filter Weights'!DS4)/$Q4)*$R4*1000</f>
        <v>0</v>
      </c>
      <c r="AV4" s="18">
        <f>(('Filter Weights'!DT4)/$Q4)*$R4*1000</f>
        <v>0</v>
      </c>
      <c r="AW4" s="18">
        <f>(('Filter Weights'!DU4)/$Q4)*$R4*1000</f>
        <v>0</v>
      </c>
      <c r="AX4" s="18">
        <f>(('Filter Weights'!DV4)/$Q4)*$R4*1000</f>
        <v>3.7061930297217716E-5</v>
      </c>
      <c r="AY4" s="18">
        <f>(('Filter Weights'!DW4)/$Q4)*$R4*1000</f>
        <v>9.6783280278373818E-5</v>
      </c>
      <c r="AZ4" s="18">
        <f>(('Filter Weights'!DX4)/$Q4)*$R4*1000</f>
        <v>0</v>
      </c>
      <c r="BA4" s="18">
        <f>(('Filter Weights'!DY4)/$Q4)*$R4*1000</f>
        <v>0</v>
      </c>
      <c r="BB4" s="18">
        <f>(('Filter Weights'!DZ4)/$Q4)*$R4*1000</f>
        <v>7.2721138772700766E-5</v>
      </c>
      <c r="BC4" s="18">
        <f>(('Filter Weights'!EA4)/$Q4)*$R4*1000</f>
        <v>0</v>
      </c>
      <c r="BD4" s="18">
        <f>(('Filter Weights'!EB4)/$Q4)*$R4*1000</f>
        <v>8.448485239769648E-5</v>
      </c>
      <c r="BE4" s="18">
        <f>(('Filter Weights'!EC4)/$Q4)*$R4*1000</f>
        <v>6.6304567704521285E-5</v>
      </c>
      <c r="BF4" s="18">
        <f>(('Filter Weights'!ED4)/$Q4)*$R4*1000</f>
        <v>0</v>
      </c>
      <c r="BG4" s="18">
        <f>(('Filter Weights'!EE4)/$Q4)*$R4*1000</f>
        <v>5.9192868103955703E-4</v>
      </c>
      <c r="BH4" s="18">
        <f>(('Filter Weights'!EF4)/$Q4)*$R4*1000</f>
        <v>0</v>
      </c>
      <c r="BI4" s="18">
        <f>(('Filter Weights'!EG4)/$Q4)*$R4*1000</f>
        <v>1.2084542178404684E-4</v>
      </c>
      <c r="BJ4" s="18">
        <f>(('Filter Weights'!EH4)/$Q4)*$R4*1000</f>
        <v>0</v>
      </c>
      <c r="BK4" s="18">
        <f>(('Filter Weights'!EI4)/$Q4)*$R4*1000</f>
        <v>0</v>
      </c>
      <c r="BL4" s="18">
        <f>(('Filter Weights'!EJ4)/$Q4)*$R4*1000</f>
        <v>0</v>
      </c>
      <c r="BM4" s="18">
        <f>(('Filter Weights'!EK4)/$Q4)*$R4*1000</f>
        <v>0</v>
      </c>
    </row>
    <row r="5" spans="1:65">
      <c r="A5" s="20">
        <f>IF(ISBLANK('Phase CEMS PM Concentrations'!A5),"",'Phase CEMS PM Concentrations'!A5)</f>
        <v>44312</v>
      </c>
      <c r="B5" s="20" t="str">
        <f>IF(ISBLANK('Phase CEMS PM Concentrations'!B5),"",'Phase CEMS PM Concentrations'!B5)</f>
        <v>BK Princess</v>
      </c>
      <c r="C5" s="20" t="str">
        <f>IF(ISBLANK('Phase CEMS PM Concentrations'!C5),"",'Phase CEMS PM Concentrations'!C5)</f>
        <v>Wet spruce</v>
      </c>
      <c r="D5" s="20" t="str">
        <f>IF(ISBLANK('Phase CEMS PM Concentrations'!D5),"",'Phase CEMS PM Concentrations'!D5)</f>
        <v>Startup</v>
      </c>
      <c r="E5" s="23">
        <v>44312.376388888886</v>
      </c>
      <c r="F5" s="23">
        <v>44312.395833333336</v>
      </c>
      <c r="G5" s="131">
        <v>0.67982717225389988</v>
      </c>
      <c r="H5" s="131">
        <v>0.9370563882223768</v>
      </c>
      <c r="I5" s="131">
        <v>0.72549227645046188</v>
      </c>
      <c r="J5" s="132">
        <v>68426.288450211796</v>
      </c>
      <c r="K5" s="132">
        <v>100652.47645714304</v>
      </c>
      <c r="L5" s="9">
        <f>44*('Phase CEMS VOC Concentration'!J5-Backgrounds!J5)/ (0.082*('Phase Parameters'!$R5+273.15))</f>
        <v>3097.6191991357655</v>
      </c>
      <c r="M5" s="9">
        <f>28*('Phase CEMS VOC Concentration'!K5-Backgrounds!L5)/ (0.082*('Phase Parameters'!$R5+273.15))</f>
        <v>130.610987667789</v>
      </c>
      <c r="N5" s="9">
        <f>16.01*('Phase CEMS VOC Concentration'!L5-Backgrounds!M5)/ (0.082*('Phase Parameters'!$R5+273.15))</f>
        <v>51.730679866513618</v>
      </c>
      <c r="O5" s="9">
        <f>16.01*('Phase CEMS VOC Concentration'!M5-Backgrounds!N5)/ (0.082*('Phase Parameters'!$R5+273.15))</f>
        <v>9.281973350141941</v>
      </c>
      <c r="P5" s="9">
        <f>31.61*('Phase CEMS VOC Concentration'!N5-Backgrounds!O5)/ (0.082*('Phase Parameters'!$R5+273.15))</f>
        <v>1.8594386298228283</v>
      </c>
      <c r="Q5" s="9">
        <f t="shared" si="0"/>
        <v>946.51228179477789</v>
      </c>
      <c r="R5" s="2">
        <f t="shared" si="5"/>
        <v>0.51910000000000001</v>
      </c>
      <c r="S5" s="35">
        <f t="shared" si="1"/>
        <v>1698.8412693624357</v>
      </c>
      <c r="T5" s="2">
        <f t="shared" si="1"/>
        <v>71.63157309463169</v>
      </c>
      <c r="U5" s="35">
        <f t="shared" si="2"/>
        <v>28.370890093246093</v>
      </c>
      <c r="V5" s="2">
        <f t="shared" si="3"/>
        <v>5.0905545112655766</v>
      </c>
      <c r="W5" s="2">
        <f t="shared" si="4"/>
        <v>1.019780314853127</v>
      </c>
      <c r="X5" s="2">
        <f>(('Phase CEMS PM Concentrations'!X5-Backgrounds!S5)/$Q5)*$R5*1000</f>
        <v>0.7331572900608806</v>
      </c>
      <c r="Y5" s="2">
        <f>(('Filter Weights'!CY5)/$Q5)*$R5*1000</f>
        <v>13.991452940596265</v>
      </c>
      <c r="Z5" s="2">
        <f>(('Filter Weights'!EL5)/$Q5)*$R5*1000</f>
        <v>6.5665577001833952</v>
      </c>
      <c r="AA5" s="2">
        <f>(('Filter Weights'!EM5)/$Q5)*$R5*1000</f>
        <v>0.57185819640987223</v>
      </c>
      <c r="AB5" s="18">
        <f>(('Filter Weights'!CZ5)/$Q5)*$R5*1000</f>
        <v>0</v>
      </c>
      <c r="AC5" s="18">
        <f>(('Filter Weights'!DA5)/$Q5)*$R5*1000</f>
        <v>0</v>
      </c>
      <c r="AD5" s="18">
        <f>(('Filter Weights'!DB5)/$Q5)*$R5*1000</f>
        <v>0</v>
      </c>
      <c r="AE5" s="18">
        <f>(('Filter Weights'!DC5)/$Q5)*$R5*1000</f>
        <v>2.7625311692366459E-3</v>
      </c>
      <c r="AF5" s="18">
        <f>(('Filter Weights'!DD5)/$Q5)*$R5*1000</f>
        <v>2.3880116256438984E-4</v>
      </c>
      <c r="AG5" s="18">
        <f>(('Filter Weights'!DE5)/$Q5)*$R5*1000</f>
        <v>2.8013891498312501E-2</v>
      </c>
      <c r="AH5" s="18">
        <f>(('Filter Weights'!DF5)/$Q5)*$R5*1000</f>
        <v>1.8216637704056599E-2</v>
      </c>
      <c r="AI5" s="18">
        <f>(('Filter Weights'!DG5)/$Q5)*$R5*1000</f>
        <v>2.470560391779255E-2</v>
      </c>
      <c r="AJ5" s="18">
        <f>(('Filter Weights'!DH5)/$Q5)*$R5*1000</f>
        <v>4.9571230099271935E-3</v>
      </c>
      <c r="AK5" s="18">
        <f>(('Filter Weights'!DI5)/$Q5)*$R5*1000</f>
        <v>3.4038446461388339E-4</v>
      </c>
      <c r="AL5" s="18">
        <f>(('Filter Weights'!DJ5)/$Q5)*$R5*1000</f>
        <v>1.2157233456198266E-4</v>
      </c>
      <c r="AM5" s="18">
        <f>(('Filter Weights'!DK5)/$Q5)*$R5*1000</f>
        <v>0</v>
      </c>
      <c r="AN5" s="18">
        <f>(('Filter Weights'!DL5)/$Q5)*$R5*1000</f>
        <v>2.2693557340826189E-4</v>
      </c>
      <c r="AO5" s="18">
        <f>(('Filter Weights'!DM5)/$Q5)*$R5*1000</f>
        <v>3.1439807171163784E-4</v>
      </c>
      <c r="AP5" s="18">
        <f>(('Filter Weights'!DN5)/$Q5)*$R5*1000</f>
        <v>2.1204705977845196E-5</v>
      </c>
      <c r="AQ5" s="18">
        <f>(('Filter Weights'!DO5)/$Q5)*$R5*1000</f>
        <v>0</v>
      </c>
      <c r="AR5" s="18">
        <f>(('Filter Weights'!DP5)/$Q5)*$R5*1000</f>
        <v>0</v>
      </c>
      <c r="AS5" s="18">
        <f>(('Filter Weights'!DQ5)/$Q5)*$R5*1000</f>
        <v>1.8495097159889244E-3</v>
      </c>
      <c r="AT5" s="18">
        <f>(('Filter Weights'!DR5)/$Q5)*$R5*1000</f>
        <v>3.5609144088666445E-5</v>
      </c>
      <c r="AU5" s="18">
        <f>(('Filter Weights'!DS5)/$Q5)*$R5*1000</f>
        <v>7.3811774555489464E-5</v>
      </c>
      <c r="AV5" s="18">
        <f>(('Filter Weights'!DT5)/$Q5)*$R5*1000</f>
        <v>4.3417053446917737E-5</v>
      </c>
      <c r="AW5" s="18">
        <f>(('Filter Weights'!DU5)/$Q5)*$R5*1000</f>
        <v>0</v>
      </c>
      <c r="AX5" s="18">
        <f>(('Filter Weights'!DV5)/$Q5)*$R5*1000</f>
        <v>4.725592052684148E-5</v>
      </c>
      <c r="AY5" s="18">
        <f>(('Filter Weights'!DW5)/$Q5)*$R5*1000</f>
        <v>7.3811774555489464E-5</v>
      </c>
      <c r="AZ5" s="18">
        <f>(('Filter Weights'!DX5)/$Q5)*$R5*1000</f>
        <v>0</v>
      </c>
      <c r="BA5" s="18">
        <f>(('Filter Weights'!DY5)/$Q5)*$R5*1000</f>
        <v>0</v>
      </c>
      <c r="BB5" s="18">
        <f>(('Filter Weights'!DZ5)/$Q5)*$R5*1000</f>
        <v>7.3811774555489464E-5</v>
      </c>
      <c r="BC5" s="18">
        <f>(('Filter Weights'!EA5)/$Q5)*$R5*1000</f>
        <v>0</v>
      </c>
      <c r="BD5" s="18">
        <f>(('Filter Weights'!EB5)/$Q5)*$R5*1000</f>
        <v>3.4300765822845112E-4</v>
      </c>
      <c r="BE5" s="18">
        <f>(('Filter Weights'!EC5)/$Q5)*$R5*1000</f>
        <v>8.8357036012012401E-4</v>
      </c>
      <c r="BF5" s="18">
        <f>(('Filter Weights'!ED5)/$Q5)*$R5*1000</f>
        <v>0</v>
      </c>
      <c r="BG5" s="18">
        <f>(('Filter Weights'!EE5)/$Q5)*$R5*1000</f>
        <v>5.4056270189167279E-4</v>
      </c>
      <c r="BH5" s="18">
        <f>(('Filter Weights'!EF5)/$Q5)*$R5*1000</f>
        <v>0</v>
      </c>
      <c r="BI5" s="18">
        <f>(('Filter Weights'!EG5)/$Q5)*$R5*1000</f>
        <v>0</v>
      </c>
      <c r="BJ5" s="18">
        <f>(('Filter Weights'!EH5)/$Q5)*$R5*1000</f>
        <v>0</v>
      </c>
      <c r="BK5" s="18">
        <f>(('Filter Weights'!EI5)/$Q5)*$R5*1000</f>
        <v>0</v>
      </c>
      <c r="BL5" s="18">
        <f>(('Filter Weights'!EJ5)/$Q5)*$R5*1000</f>
        <v>9.7692054558736068E-5</v>
      </c>
      <c r="BM5" s="18">
        <f>(('Filter Weights'!EK5)/$Q5)*$R5*1000</f>
        <v>0</v>
      </c>
    </row>
    <row r="6" spans="1:65">
      <c r="A6" s="20">
        <f>IF(ISBLANK('Phase CEMS PM Concentrations'!A6),"",'Phase CEMS PM Concentrations'!A6)</f>
        <v>44312</v>
      </c>
      <c r="B6" s="20" t="str">
        <f>IF(ISBLANK('Phase CEMS PM Concentrations'!B6),"",'Phase CEMS PM Concentrations'!B6)</f>
        <v>BK Princess</v>
      </c>
      <c r="C6" s="20" t="str">
        <f>IF(ISBLANK('Phase CEMS PM Concentrations'!C6),"",'Phase CEMS PM Concentrations'!C6)</f>
        <v>Wet spruce</v>
      </c>
      <c r="D6" s="20" t="str">
        <f>IF(ISBLANK('Phase CEMS PM Concentrations'!D6),"",'Phase CEMS PM Concentrations'!D6)</f>
        <v>High</v>
      </c>
      <c r="E6" s="23">
        <v>44312.397222222222</v>
      </c>
      <c r="F6" s="23">
        <v>44312.567361111112</v>
      </c>
      <c r="G6" s="131">
        <v>0.90916221891789584</v>
      </c>
      <c r="H6" s="131">
        <v>0.995</v>
      </c>
      <c r="I6" s="131">
        <v>0.91373087328431746</v>
      </c>
      <c r="J6" s="132">
        <v>46256.595434364426</v>
      </c>
      <c r="K6" s="132">
        <v>50878.264045573749</v>
      </c>
      <c r="L6" s="9">
        <f>44*('Phase CEMS VOC Concentration'!J6-Backgrounds!J6)/ (0.082*('Phase Parameters'!$R6+273.15))</f>
        <v>1351.8502664268894</v>
      </c>
      <c r="M6" s="9">
        <f>28*('Phase CEMS VOC Concentration'!K6-Backgrounds!L6)/ (0.082*('Phase Parameters'!$R6+273.15))</f>
        <v>11.123305533489974</v>
      </c>
      <c r="N6" s="9">
        <f>16.01*('Phase CEMS VOC Concentration'!L6-Backgrounds!M6)/ (0.082*('Phase Parameters'!$R6+273.15))</f>
        <v>23.110440261622777</v>
      </c>
      <c r="O6" s="9">
        <f>16.01*('Phase CEMS VOC Concentration'!M6-Backgrounds!N6)/ (0.082*('Phase Parameters'!$R6+273.15))</f>
        <v>10.135686806606726</v>
      </c>
      <c r="P6" s="9">
        <f>31.61*('Phase CEMS VOC Concentration'!N6-Backgrounds!O6)/ (0.082*('Phase Parameters'!$R6+273.15))</f>
        <v>0.98343289237203846</v>
      </c>
      <c r="Q6" s="9">
        <f t="shared" si="0"/>
        <v>398.37258815426827</v>
      </c>
      <c r="R6" s="2">
        <f t="shared" si="5"/>
        <v>0.51910000000000001</v>
      </c>
      <c r="S6" s="35">
        <f>(L6/'Emission Factors'!Q6)*R6*1000</f>
        <v>1761.5305223522309</v>
      </c>
      <c r="T6" s="2">
        <f>(M6/$Q6)*$R6*1000</f>
        <v>14.494240000766933</v>
      </c>
      <c r="U6" s="35">
        <f t="shared" si="2"/>
        <v>30.114093932494008</v>
      </c>
      <c r="V6" s="2">
        <f t="shared" si="3"/>
        <v>13.207321933687066</v>
      </c>
      <c r="W6" s="2">
        <f t="shared" si="4"/>
        <v>1.2814637091260808</v>
      </c>
      <c r="X6" s="2">
        <f>(('Phase CEMS PM Concentrations'!X6-Backgrounds!S6)/$Q6)*$R6*1000</f>
        <v>0.13483494830522638</v>
      </c>
      <c r="Y6" s="2">
        <f>(('Filter Weights'!CY6)/$Q6)*$R6*1000</f>
        <v>4.4366171684933011</v>
      </c>
      <c r="Z6" s="2">
        <f>(('Filter Weights'!EL6)/$Q6)*$R6*1000</f>
        <v>2.0253158266211502</v>
      </c>
      <c r="AA6" s="2">
        <f>(('Filter Weights'!EM6)/$Q6)*$R6*1000</f>
        <v>0.11049038063725826</v>
      </c>
      <c r="AB6" s="18">
        <f>(('Filter Weights'!CZ6)/$Q6)*$R6*1000</f>
        <v>0</v>
      </c>
      <c r="AC6" s="18">
        <f>(('Filter Weights'!DA6)/$Q6)*$R6*1000</f>
        <v>0</v>
      </c>
      <c r="AD6" s="18">
        <f>(('Filter Weights'!DB6)/$Q6)*$R6*1000</f>
        <v>0</v>
      </c>
      <c r="AE6" s="18">
        <f>(('Filter Weights'!DC6)/$Q6)*$R6*1000</f>
        <v>0</v>
      </c>
      <c r="AF6" s="18">
        <f>(('Filter Weights'!DD6)/$Q6)*$R6*1000</f>
        <v>1.7140982752516127E-4</v>
      </c>
      <c r="AG6" s="18">
        <f>(('Filter Weights'!DE6)/$Q6)*$R6*1000</f>
        <v>6.939600993227343E-3</v>
      </c>
      <c r="AH6" s="18">
        <f>(('Filter Weights'!DF6)/$Q6)*$R6*1000</f>
        <v>7.1853033401005828E-3</v>
      </c>
      <c r="AI6" s="18">
        <f>(('Filter Weights'!DG6)/$Q6)*$R6*1000</f>
        <v>2.4421837200860455E-2</v>
      </c>
      <c r="AJ6" s="18">
        <f>(('Filter Weights'!DH6)/$Q6)*$R6*1000</f>
        <v>2.4416895584093842E-3</v>
      </c>
      <c r="AK6" s="18">
        <f>(('Filter Weights'!DI6)/$Q6)*$R6*1000</f>
        <v>0</v>
      </c>
      <c r="AL6" s="18">
        <f>(('Filter Weights'!DJ6)/$Q6)*$R6*1000</f>
        <v>0</v>
      </c>
      <c r="AM6" s="18">
        <f>(('Filter Weights'!DK6)/$Q6)*$R6*1000</f>
        <v>0</v>
      </c>
      <c r="AN6" s="18">
        <f>(('Filter Weights'!DL6)/$Q6)*$R6*1000</f>
        <v>1.1009845648898785E-4</v>
      </c>
      <c r="AO6" s="18">
        <f>(('Filter Weights'!DM6)/$Q6)*$R6*1000</f>
        <v>0</v>
      </c>
      <c r="AP6" s="18">
        <f>(('Filter Weights'!DN6)/$Q6)*$R6*1000</f>
        <v>0</v>
      </c>
      <c r="AQ6" s="18">
        <f>(('Filter Weights'!DO6)/$Q6)*$R6*1000</f>
        <v>0</v>
      </c>
      <c r="AR6" s="18">
        <f>(('Filter Weights'!DP6)/$Q6)*$R6*1000</f>
        <v>0</v>
      </c>
      <c r="AS6" s="18">
        <f>(('Filter Weights'!DQ6)/$Q6)*$R6*1000</f>
        <v>3.0815818026339739E-3</v>
      </c>
      <c r="AT6" s="18">
        <f>(('Filter Weights'!DR6)/$Q6)*$R6*1000</f>
        <v>0</v>
      </c>
      <c r="AU6" s="18">
        <f>(('Filter Weights'!DS6)/$Q6)*$R6*1000</f>
        <v>6.5055878489457639E-6</v>
      </c>
      <c r="AV6" s="18">
        <f>(('Filter Weights'!DT6)/$Q6)*$R6*1000</f>
        <v>0</v>
      </c>
      <c r="AW6" s="18">
        <f>(('Filter Weights'!DU6)/$Q6)*$R6*1000</f>
        <v>6.5055878489457639E-6</v>
      </c>
      <c r="AX6" s="18">
        <f>(('Filter Weights'!DV6)/$Q6)*$R6*1000</f>
        <v>2.0256745547193691E-5</v>
      </c>
      <c r="AY6" s="18">
        <f>(('Filter Weights'!DW6)/$Q6)*$R6*1000</f>
        <v>1.1355207881796242E-4</v>
      </c>
      <c r="AZ6" s="18">
        <f>(('Filter Weights'!DX6)/$Q6)*$R6*1000</f>
        <v>0</v>
      </c>
      <c r="BA6" s="18">
        <f>(('Filter Weights'!DY6)/$Q6)*$R6*1000</f>
        <v>0</v>
      </c>
      <c r="BB6" s="18">
        <f>(('Filter Weights'!DZ6)/$Q6)*$R6*1000</f>
        <v>0</v>
      </c>
      <c r="BC6" s="18">
        <f>(('Filter Weights'!EA6)/$Q6)*$R6*1000</f>
        <v>0</v>
      </c>
      <c r="BD6" s="18">
        <f>(('Filter Weights'!EB6)/$Q6)*$R6*1000</f>
        <v>2.661376847295994E-5</v>
      </c>
      <c r="BE6" s="18">
        <f>(('Filter Weights'!EC6)/$Q6)*$R6*1000</f>
        <v>0</v>
      </c>
      <c r="BF6" s="18">
        <f>(('Filter Weights'!ED6)/$Q6)*$R6*1000</f>
        <v>2.2580481580309253E-4</v>
      </c>
      <c r="BG6" s="18">
        <f>(('Filter Weights'!EE6)/$Q6)*$R6*1000</f>
        <v>0</v>
      </c>
      <c r="BH6" s="18">
        <f>(('Filter Weights'!EF6)/$Q6)*$R6*1000</f>
        <v>0</v>
      </c>
      <c r="BI6" s="18">
        <f>(('Filter Weights'!EG6)/$Q6)*$R6*1000</f>
        <v>0</v>
      </c>
      <c r="BJ6" s="18">
        <f>(('Filter Weights'!EH6)/$Q6)*$R6*1000</f>
        <v>0</v>
      </c>
      <c r="BK6" s="18">
        <f>(('Filter Weights'!EI6)/$Q6)*$R6*1000</f>
        <v>0</v>
      </c>
      <c r="BL6" s="18">
        <f>(('Filter Weights'!EJ6)/$Q6)*$R6*1000</f>
        <v>0</v>
      </c>
      <c r="BM6" s="18">
        <f>(('Filter Weights'!EK6)/$Q6)*$R6*1000</f>
        <v>8.1870402822566594E-6</v>
      </c>
    </row>
    <row r="7" spans="1:65">
      <c r="A7" s="20">
        <f>IF(ISBLANK('Phase CEMS PM Concentrations'!A7),"",'Phase CEMS PM Concentrations'!A7)</f>
        <v>44313</v>
      </c>
      <c r="B7" s="20" t="str">
        <f>IF(ISBLANK('Phase CEMS PM Concentrations'!B7),"",'Phase CEMS PM Concentrations'!B7)</f>
        <v>BK Princess</v>
      </c>
      <c r="C7" s="20" t="str">
        <f>IF(ISBLANK('Phase CEMS PM Concentrations'!C7),"",'Phase CEMS PM Concentrations'!C7)</f>
        <v>Wet spruce</v>
      </c>
      <c r="D7" s="20" t="str">
        <f>IF(ISBLANK('Phase CEMS PM Concentrations'!D7),"",'Phase CEMS PM Concentrations'!D7)</f>
        <v>Startup</v>
      </c>
      <c r="E7" s="23">
        <v>44313.375</v>
      </c>
      <c r="F7" s="23">
        <v>44313.390972222223</v>
      </c>
      <c r="G7" s="104">
        <v>0.69273271371830902</v>
      </c>
      <c r="H7" s="104">
        <v>0.93789316499912434</v>
      </c>
      <c r="I7" s="105">
        <v>0.7386051413637883</v>
      </c>
      <c r="J7" s="106">
        <v>94529.983962991129</v>
      </c>
      <c r="K7" s="106">
        <v>136459.53495626387</v>
      </c>
      <c r="L7" s="9">
        <f>44*('Phase CEMS VOC Concentration'!J7-Backgrounds!J7)/ (0.082*('Phase Parameters'!$R7+273.15))</f>
        <v>3537.7755346104236</v>
      </c>
      <c r="M7" s="9">
        <f>28*('Phase CEMS VOC Concentration'!K7-Backgrounds!L7)/ (0.082*('Phase Parameters'!$R7+273.15))</f>
        <v>128.72570727694401</v>
      </c>
      <c r="N7" s="9">
        <f>16.01*('Phase CEMS VOC Concentration'!L7-Backgrounds!M7)/ (0.082*('Phase Parameters'!$R7+273.15))</f>
        <v>37.585231257129152</v>
      </c>
      <c r="O7" s="9"/>
      <c r="P7" s="9">
        <f>31.61*('Phase CEMS VOC Concentration'!N7-Backgrounds!O7)/ (0.082*('Phase Parameters'!$R7+273.15))</f>
        <v>2.3675264562552116</v>
      </c>
      <c r="Q7" s="9">
        <f t="shared" si="0"/>
        <v>1048.1873497072329</v>
      </c>
      <c r="R7" s="2">
        <f t="shared" si="5"/>
        <v>0.51910000000000001</v>
      </c>
      <c r="S7" s="2">
        <f>(L7/'Emission Factors'!Q7)*R7*1000</f>
        <v>1752.0334323145655</v>
      </c>
      <c r="T7" s="2">
        <f>(M7/$Q7)*$R7*1000</f>
        <v>63.749590820882759</v>
      </c>
      <c r="U7" s="2">
        <f t="shared" si="2"/>
        <v>18.613555631085585</v>
      </c>
      <c r="V7" s="2">
        <f t="shared" si="3"/>
        <v>0</v>
      </c>
      <c r="W7" s="2">
        <f t="shared" si="4"/>
        <v>1.1724840829126064</v>
      </c>
      <c r="X7" s="2">
        <f>(('Phase CEMS PM Concentrations'!X7-Backgrounds!S7)/$Q7)*$R7*1000</f>
        <v>0.85124993572877783</v>
      </c>
      <c r="Y7" s="2">
        <f>(('Filter Weights'!CY7)/$Q7)*$R7*1000</f>
        <v>10.075678156500425</v>
      </c>
      <c r="Z7" s="2">
        <f>(('Filter Weights'!EL7)/$Q7)*$R7*1000</f>
        <v>5.5155499357068507</v>
      </c>
      <c r="AA7" s="2">
        <f>(('Filter Weights'!EM7)/$Q7)*$R7*1000</f>
        <v>0.38995538108383226</v>
      </c>
      <c r="AB7" s="18">
        <f>(('Filter Weights'!CZ7)/$Q7)*$R7*1000</f>
        <v>1.4345423129161073E-3</v>
      </c>
      <c r="AC7" s="18">
        <f>(('Filter Weights'!DA7)/$Q7)*$R7*1000</f>
        <v>4.6323104864748324E-3</v>
      </c>
      <c r="AD7" s="18">
        <f>(('Filter Weights'!DB7)/$Q7)*$R7*1000</f>
        <v>0</v>
      </c>
      <c r="AE7" s="18">
        <f>(('Filter Weights'!DC7)/$Q7)*$R7*1000</f>
        <v>6.0499785883962921E-4</v>
      </c>
      <c r="AF7" s="18">
        <f>(('Filter Weights'!DD7)/$Q7)*$R7*1000</f>
        <v>0</v>
      </c>
      <c r="AG7" s="18">
        <f>(('Filter Weights'!DE7)/$Q7)*$R7*1000</f>
        <v>1.1826476413467775E-2</v>
      </c>
      <c r="AH7" s="18">
        <f>(('Filter Weights'!DF7)/$Q7)*$R7*1000</f>
        <v>1.1886251091020362E-2</v>
      </c>
      <c r="AI7" s="18">
        <f>(('Filter Weights'!DG7)/$Q7)*$R7*1000</f>
        <v>1.8420833065123172E-2</v>
      </c>
      <c r="AJ7" s="18">
        <f>(('Filter Weights'!DH7)/$Q7)*$R7*1000</f>
        <v>3.9340992105485707E-3</v>
      </c>
      <c r="AK7" s="18">
        <f>(('Filter Weights'!DI7)/$Q7)*$R7*1000</f>
        <v>0</v>
      </c>
      <c r="AL7" s="18">
        <f>(('Filter Weights'!DJ7)/$Q7)*$R7*1000</f>
        <v>1.030420029121935E-4</v>
      </c>
      <c r="AM7" s="18">
        <f>(('Filter Weights'!DK7)/$Q7)*$R7*1000</f>
        <v>0</v>
      </c>
      <c r="AN7" s="18">
        <f>(('Filter Weights'!DL7)/$Q7)*$R7*1000</f>
        <v>6.1256806123507544E-5</v>
      </c>
      <c r="AO7" s="18">
        <f>(('Filter Weights'!DM7)/$Q7)*$R7*1000</f>
        <v>1.2117541988090461E-4</v>
      </c>
      <c r="AP7" s="18">
        <f>(('Filter Weights'!DN7)/$Q7)*$R7*1000</f>
        <v>2.2772004095905389E-5</v>
      </c>
      <c r="AQ7" s="18">
        <f>(('Filter Weights'!DO7)/$Q7)*$R7*1000</f>
        <v>0</v>
      </c>
      <c r="AR7" s="18">
        <f>(('Filter Weights'!DP7)/$Q7)*$R7*1000</f>
        <v>2.5188045156313967E-5</v>
      </c>
      <c r="AS7" s="18">
        <f>(('Filter Weights'!DQ7)/$Q7)*$R7*1000</f>
        <v>2.1124527236727089E-3</v>
      </c>
      <c r="AT7" s="18">
        <f>(('Filter Weights'!DR7)/$Q7)*$R7*1000</f>
        <v>0</v>
      </c>
      <c r="AU7" s="18">
        <f>(('Filter Weights'!DS7)/$Q7)*$R7*1000</f>
        <v>0</v>
      </c>
      <c r="AV7" s="18">
        <f>(('Filter Weights'!DT7)/$Q7)*$R7*1000</f>
        <v>0</v>
      </c>
      <c r="AW7" s="18">
        <f>(('Filter Weights'!DU7)/$Q7)*$R7*1000</f>
        <v>0</v>
      </c>
      <c r="AX7" s="18">
        <f>(('Filter Weights'!DV7)/$Q7)*$R7*1000</f>
        <v>5.0249871539156985E-5</v>
      </c>
      <c r="AY7" s="18">
        <f>(('Filter Weights'!DW7)/$Q7)*$R7*1000</f>
        <v>0</v>
      </c>
      <c r="AZ7" s="18">
        <f>(('Filter Weights'!DX7)/$Q7)*$R7*1000</f>
        <v>1.2823004806850746E-4</v>
      </c>
      <c r="BA7" s="18">
        <f>(('Filter Weights'!DY7)/$Q7)*$R7*1000</f>
        <v>0</v>
      </c>
      <c r="BB7" s="18">
        <f>(('Filter Weights'!DZ7)/$Q7)*$R7*1000</f>
        <v>3.6179192133614608E-4</v>
      </c>
      <c r="BC7" s="18">
        <f>(('Filter Weights'!EA7)/$Q7)*$R7*1000</f>
        <v>0</v>
      </c>
      <c r="BD7" s="18">
        <f>(('Filter Weights'!EB7)/$Q7)*$R7*1000</f>
        <v>0</v>
      </c>
      <c r="BE7" s="18">
        <f>(('Filter Weights'!EC7)/$Q7)*$R7*1000</f>
        <v>0</v>
      </c>
      <c r="BF7" s="18">
        <f>(('Filter Weights'!ED7)/$Q7)*$R7*1000</f>
        <v>6.3759377248433008E-4</v>
      </c>
      <c r="BG7" s="18">
        <f>(('Filter Weights'!EE7)/$Q7)*$R7*1000</f>
        <v>0</v>
      </c>
      <c r="BH7" s="18">
        <f>(('Filter Weights'!EF7)/$Q7)*$R7*1000</f>
        <v>1.0876655862953758E-3</v>
      </c>
      <c r="BI7" s="18">
        <f>(('Filter Weights'!EG7)/$Q7)*$R7*1000</f>
        <v>0</v>
      </c>
      <c r="BJ7" s="18">
        <f>(('Filter Weights'!EH7)/$Q7)*$R7*1000</f>
        <v>1.3189376372760768E-3</v>
      </c>
      <c r="BK7" s="18">
        <f>(('Filter Weights'!EI7)/$Q7)*$R7*1000</f>
        <v>3.5715742691280804E-4</v>
      </c>
      <c r="BL7" s="18">
        <f>(('Filter Weights'!EJ7)/$Q7)*$R7*1000</f>
        <v>0</v>
      </c>
      <c r="BM7" s="18">
        <f>(('Filter Weights'!EK7)/$Q7)*$R7*1000</f>
        <v>1.7389272465058437E-4</v>
      </c>
    </row>
    <row r="8" spans="1:65">
      <c r="A8" s="20">
        <f>IF(ISBLANK('Phase CEMS PM Concentrations'!A8),"",'Phase CEMS PM Concentrations'!A8)</f>
        <v>44313</v>
      </c>
      <c r="B8" s="20" t="str">
        <f>IF(ISBLANK('Phase CEMS PM Concentrations'!B8),"",'Phase CEMS PM Concentrations'!B8)</f>
        <v>BK Princess</v>
      </c>
      <c r="C8" s="20" t="str">
        <f>IF(ISBLANK('Phase CEMS PM Concentrations'!C8),"",'Phase CEMS PM Concentrations'!C8)</f>
        <v>Wet spruce</v>
      </c>
      <c r="D8" s="20" t="str">
        <f>IF(ISBLANK('Phase CEMS PM Concentrations'!D8),"",'Phase CEMS PM Concentrations'!D8)</f>
        <v>Low</v>
      </c>
      <c r="E8" s="23">
        <v>44313.392361111109</v>
      </c>
      <c r="F8" s="23">
        <v>44313.677083333336</v>
      </c>
      <c r="G8" s="80">
        <v>0.75973312216893285</v>
      </c>
      <c r="H8" s="80">
        <v>0.98704336421421535</v>
      </c>
      <c r="I8" s="80">
        <v>0.76970592145539218</v>
      </c>
      <c r="J8" s="81">
        <v>38863.276267431502</v>
      </c>
      <c r="K8" s="81">
        <v>51153.852758824352</v>
      </c>
      <c r="L8" s="9">
        <f>44*('Phase CEMS VOC Concentration'!J8-Backgrounds!J8)/ (0.082*('Phase Parameters'!$R8+273.15))</f>
        <v>1007.2167613585623</v>
      </c>
      <c r="M8" s="9">
        <f>28*('Phase CEMS VOC Concentration'!K8-Backgrounds!L8)/ (0.082*('Phase Parameters'!$R8+273.15))</f>
        <v>18.693219605689443</v>
      </c>
      <c r="N8" s="9">
        <f>16.01*('Phase CEMS VOC Concentration'!L8-Backgrounds!M8)/ (0.082*('Phase Parameters'!$R8+273.15))</f>
        <v>25.525021916698915</v>
      </c>
      <c r="O8" s="9"/>
      <c r="P8" s="9">
        <f>31.61*('Phase CEMS VOC Concentration'!N8-Backgrounds!O8)/ (0.082*('Phase Parameters'!$R8+273.15))</f>
        <v>0.75497669969269487</v>
      </c>
      <c r="Q8" s="9">
        <f t="shared" si="0"/>
        <v>301.83866925839038</v>
      </c>
      <c r="R8" s="2">
        <f t="shared" si="5"/>
        <v>0.51910000000000001</v>
      </c>
      <c r="S8" s="2">
        <f>(L8/'Emission Factors'!Q8)*R8*1000</f>
        <v>1732.2042338241451</v>
      </c>
      <c r="T8" s="2">
        <f t="shared" ref="T8:T24" si="6">(M8/$Q8)*$R8*1000</f>
        <v>32.148466335194897</v>
      </c>
      <c r="U8" s="2">
        <f t="shared" si="2"/>
        <v>43.897751436266937</v>
      </c>
      <c r="V8" s="2">
        <f t="shared" si="3"/>
        <v>0</v>
      </c>
      <c r="W8" s="2">
        <f t="shared" si="4"/>
        <v>1.2984035669564356</v>
      </c>
      <c r="X8" s="2">
        <f>(('Phase CEMS PM Concentrations'!X8-Backgrounds!S8)/$Q8)*$R8*1000</f>
        <v>0.14419362789709939</v>
      </c>
      <c r="Y8" s="2">
        <f>(('Filter Weights'!CY8)/$Q8)*$R8*1000</f>
        <v>6.3653354217634019</v>
      </c>
      <c r="Z8" s="2">
        <f>(('Filter Weights'!EL8)/$Q8)*$R8*1000</f>
        <v>3.2716237847030576</v>
      </c>
      <c r="AA8" s="2">
        <f>(('Filter Weights'!EM8)/$Q8)*$R8*1000</f>
        <v>6.8126082253559428E-2</v>
      </c>
      <c r="AB8" s="18">
        <f>(('Filter Weights'!CZ8)/$Q8)*$R8*1000</f>
        <v>3.0211402724419141E-4</v>
      </c>
      <c r="AC8" s="18">
        <f>(('Filter Weights'!DA8)/$Q8)*$R8*1000</f>
        <v>3.6046726120379921E-4</v>
      </c>
      <c r="AD8" s="18">
        <f>(('Filter Weights'!DB8)/$Q8)*$R8*1000</f>
        <v>0</v>
      </c>
      <c r="AE8" s="18">
        <f>(('Filter Weights'!DC8)/$Q8)*$R8*1000</f>
        <v>0</v>
      </c>
      <c r="AF8" s="18">
        <f>(('Filter Weights'!DD8)/$Q8)*$R8*1000</f>
        <v>1.422765475195779E-4</v>
      </c>
      <c r="AG8" s="18">
        <f>(('Filter Weights'!DE8)/$Q8)*$R8*1000</f>
        <v>8.0351197326490199E-3</v>
      </c>
      <c r="AH8" s="18">
        <f>(('Filter Weights'!DF8)/$Q8)*$R8*1000</f>
        <v>6.9614001444610642E-3</v>
      </c>
      <c r="AI8" s="18">
        <f>(('Filter Weights'!DG8)/$Q8)*$R8*1000</f>
        <v>1.3493192425829153E-2</v>
      </c>
      <c r="AJ8" s="18">
        <f>(('Filter Weights'!DH8)/$Q8)*$R8*1000</f>
        <v>4.0824579578997502E-3</v>
      </c>
      <c r="AK8" s="18">
        <f>(('Filter Weights'!DI8)/$Q8)*$R8*1000</f>
        <v>2.2337441184773762E-5</v>
      </c>
      <c r="AL8" s="18">
        <f>(('Filter Weights'!DJ8)/$Q8)*$R8*1000</f>
        <v>0</v>
      </c>
      <c r="AM8" s="18">
        <f>(('Filter Weights'!DK8)/$Q8)*$R8*1000</f>
        <v>0</v>
      </c>
      <c r="AN8" s="18">
        <f>(('Filter Weights'!DL8)/$Q8)*$R8*1000</f>
        <v>0</v>
      </c>
      <c r="AO8" s="18">
        <f>(('Filter Weights'!DM8)/$Q8)*$R8*1000</f>
        <v>0</v>
      </c>
      <c r="AP8" s="18">
        <f>(('Filter Weights'!DN8)/$Q8)*$R8*1000</f>
        <v>0</v>
      </c>
      <c r="AQ8" s="18">
        <f>(('Filter Weights'!DO8)/$Q8)*$R8*1000</f>
        <v>0</v>
      </c>
      <c r="AR8" s="18">
        <f>(('Filter Weights'!DP8)/$Q8)*$R8*1000</f>
        <v>0</v>
      </c>
      <c r="AS8" s="18">
        <f>(('Filter Weights'!DQ8)/$Q8)*$R8*1000</f>
        <v>8.0160541030452727E-4</v>
      </c>
      <c r="AT8" s="18">
        <f>(('Filter Weights'!DR8)/$Q8)*$R8*1000</f>
        <v>0</v>
      </c>
      <c r="AU8" s="18">
        <f>(('Filter Weights'!DS8)/$Q8)*$R8*1000</f>
        <v>4.9440646798526082E-6</v>
      </c>
      <c r="AV8" s="18">
        <f>(('Filter Weights'!DT8)/$Q8)*$R8*1000</f>
        <v>0</v>
      </c>
      <c r="AW8" s="18">
        <f>(('Filter Weights'!DU8)/$Q8)*$R8*1000</f>
        <v>1.5281654464998968E-5</v>
      </c>
      <c r="AX8" s="18">
        <f>(('Filter Weights'!DV8)/$Q8)*$R8*1000</f>
        <v>2.217318555012843E-5</v>
      </c>
      <c r="AY8" s="18">
        <f>(('Filter Weights'!DW8)/$Q8)*$R8*1000</f>
        <v>6.112661785999587E-5</v>
      </c>
      <c r="AZ8" s="18">
        <f>(('Filter Weights'!DX8)/$Q8)*$R8*1000</f>
        <v>0</v>
      </c>
      <c r="BA8" s="18">
        <f>(('Filter Weights'!DY8)/$Q8)*$R8*1000</f>
        <v>0</v>
      </c>
      <c r="BB8" s="18">
        <f>(('Filter Weights'!DZ8)/$Q8)*$R8*1000</f>
        <v>0</v>
      </c>
      <c r="BC8" s="18">
        <f>(('Filter Weights'!EA8)/$Q8)*$R8*1000</f>
        <v>0</v>
      </c>
      <c r="BD8" s="18">
        <f>(('Filter Weights'!EB8)/$Q8)*$R8*1000</f>
        <v>9.1240466364552662E-5</v>
      </c>
      <c r="BE8" s="18">
        <f>(('Filter Weights'!EC8)/$Q8)*$R8*1000</f>
        <v>0</v>
      </c>
      <c r="BF8" s="18">
        <f>(('Filter Weights'!ED8)/$Q8)*$R8*1000</f>
        <v>2.8681769076151692E-4</v>
      </c>
      <c r="BG8" s="18">
        <f>(('Filter Weights'!EE8)/$Q8)*$R8*1000</f>
        <v>6.6070682539848475E-5</v>
      </c>
      <c r="BH8" s="18">
        <f>(('Filter Weights'!EF8)/$Q8)*$R8*1000</f>
        <v>6.112661785999587E-5</v>
      </c>
      <c r="BI8" s="18">
        <f>(('Filter Weights'!EG8)/$Q8)*$R8*1000</f>
        <v>5.0789028074849511E-5</v>
      </c>
      <c r="BJ8" s="18">
        <f>(('Filter Weights'!EH8)/$Q8)*$R8*1000</f>
        <v>0</v>
      </c>
      <c r="BK8" s="18">
        <f>(('Filter Weights'!EI8)/$Q8)*$R8*1000</f>
        <v>0</v>
      </c>
      <c r="BL8" s="18">
        <f>(('Filter Weights'!EJ8)/$Q8)*$R8*1000</f>
        <v>6.112661785999587E-5</v>
      </c>
      <c r="BM8" s="18">
        <f>(('Filter Weights'!EK8)/$Q8)*$R8*1000</f>
        <v>0</v>
      </c>
    </row>
    <row r="9" spans="1:65">
      <c r="A9" s="20">
        <f>IF(ISBLANK('Phase CEMS PM Concentrations'!A9),"",'Phase CEMS PM Concentrations'!A9)</f>
        <v>44314</v>
      </c>
      <c r="B9" s="20" t="str">
        <f>IF(ISBLANK('Phase CEMS PM Concentrations'!B9),"",'Phase CEMS PM Concentrations'!B9)</f>
        <v>BK Princess</v>
      </c>
      <c r="C9" s="20" t="str">
        <f>IF(ISBLANK('Phase CEMS PM Concentrations'!C9),"",'Phase CEMS PM Concentrations'!C9)</f>
        <v>Wet spruce</v>
      </c>
      <c r="D9" s="20" t="str">
        <f>IF(ISBLANK('Phase CEMS PM Concentrations'!D9),"",'Phase CEMS PM Concentrations'!D9)</f>
        <v>Startup</v>
      </c>
      <c r="E9" s="23">
        <v>44314.347222222219</v>
      </c>
      <c r="F9" s="23">
        <v>44314.372916666667</v>
      </c>
      <c r="G9" s="80">
        <v>0.69820855648516245</v>
      </c>
      <c r="H9" s="80">
        <v>0.93116232022919121</v>
      </c>
      <c r="I9" s="80">
        <v>0.7498247526954368</v>
      </c>
      <c r="J9" s="81">
        <v>59769.734557063326</v>
      </c>
      <c r="K9" s="81">
        <v>85604.41432850514</v>
      </c>
      <c r="L9" s="9">
        <f>44*('Phase CEMS VOC Concentration'!J9-Backgrounds!J9)/ (0.082*('Phase Parameters'!$R9+273.15))</f>
        <v>2945.0651173563065</v>
      </c>
      <c r="M9" s="9">
        <f>28*('Phase CEMS VOC Concentration'!K9-Backgrounds!L9)/ (0.082*('Phase Parameters'!$R9+273.15))</f>
        <v>146.46899245684341</v>
      </c>
      <c r="N9" s="9">
        <f>16.01*('Phase CEMS VOC Concentration'!L9-Backgrounds!M9)/ (0.082*('Phase Parameters'!$R9+273.15))</f>
        <v>64.703423298419068</v>
      </c>
      <c r="O9" s="9">
        <f>16.01*('Phase CEMS VOC Concentration'!M9-Backgrounds!N9)/ (0.082*('Phase Parameters'!$R9+273.15))</f>
        <v>9.865409776925592</v>
      </c>
      <c r="P9" s="9">
        <f>31.61*('Phase CEMS VOC Concentration'!N9-Backgrounds!O9)/ (0.082*('Phase Parameters'!$R9+273.15))</f>
        <v>1.8833538890425059</v>
      </c>
      <c r="Q9" s="9">
        <f t="shared" si="0"/>
        <v>921.86369529815477</v>
      </c>
      <c r="R9" s="2">
        <f t="shared" si="5"/>
        <v>0.51910000000000001</v>
      </c>
      <c r="S9" s="2">
        <f>(L9/'Emission Factors'!Q9)*R9*1000</f>
        <v>1658.3615454399801</v>
      </c>
      <c r="T9" s="2">
        <f t="shared" si="6"/>
        <v>82.47645977614583</v>
      </c>
      <c r="U9" s="2">
        <f t="shared" si="2"/>
        <v>36.434396110312441</v>
      </c>
      <c r="V9" s="2">
        <f t="shared" si="3"/>
        <v>5.555196762082887</v>
      </c>
      <c r="W9" s="2">
        <f t="shared" si="4"/>
        <v>1.0605136190830984</v>
      </c>
      <c r="X9" s="2">
        <f>(('Phase CEMS PM Concentrations'!X9-Backgrounds!S9)/$Q9)*$R9*1000</f>
        <v>0</v>
      </c>
      <c r="Y9" s="2">
        <f>(('Filter Weights'!CY9)/$Q9)*$R9*1000</f>
        <v>17.014277861767891</v>
      </c>
      <c r="Z9" s="2">
        <f>(('Filter Weights'!EL9)/$Q9)*$R9*1000</f>
        <v>9.4955050699109815</v>
      </c>
      <c r="AA9" s="2">
        <f>(('Filter Weights'!EM9)/$Q9)*$R9*1000</f>
        <v>0.4488061208993071</v>
      </c>
      <c r="AB9" s="18">
        <f>(('Filter Weights'!CZ9)/$Q9)*$R9*1000</f>
        <v>0</v>
      </c>
      <c r="AC9" s="18">
        <f>(('Filter Weights'!DA9)/$Q9)*$R9*1000</f>
        <v>0</v>
      </c>
      <c r="AD9" s="18">
        <f>(('Filter Weights'!DB9)/$Q9)*$R9*1000</f>
        <v>0</v>
      </c>
      <c r="AE9" s="18">
        <f>(('Filter Weights'!DC9)/$Q9)*$R9*1000</f>
        <v>9.8485365629639738E-4</v>
      </c>
      <c r="AF9" s="18">
        <f>(('Filter Weights'!DD9)/$Q9)*$R9*1000</f>
        <v>0</v>
      </c>
      <c r="AG9" s="18">
        <f>(('Filter Weights'!DE9)/$Q9)*$R9*1000</f>
        <v>1.5427780900415407E-2</v>
      </c>
      <c r="AH9" s="18">
        <f>(('Filter Weights'!DF9)/$Q9)*$R9*1000</f>
        <v>2.062893792061234E-2</v>
      </c>
      <c r="AI9" s="18">
        <f>(('Filter Weights'!DG9)/$Q9)*$R9*1000</f>
        <v>1.3972316764900673E-2</v>
      </c>
      <c r="AJ9" s="18">
        <f>(('Filter Weights'!DH9)/$Q9)*$R9*1000</f>
        <v>2.5190266696089778E-3</v>
      </c>
      <c r="AK9" s="18">
        <f>(('Filter Weights'!DI9)/$Q9)*$R9*1000</f>
        <v>4.3016811143528486E-4</v>
      </c>
      <c r="AL9" s="18">
        <f>(('Filter Weights'!DJ9)/$Q9)*$R9*1000</f>
        <v>0</v>
      </c>
      <c r="AM9" s="18">
        <f>(('Filter Weights'!DK9)/$Q9)*$R9*1000</f>
        <v>0</v>
      </c>
      <c r="AN9" s="18">
        <f>(('Filter Weights'!DL9)/$Q9)*$R9*1000</f>
        <v>5.3005890029529262E-5</v>
      </c>
      <c r="AO9" s="18">
        <f>(('Filter Weights'!DM9)/$Q9)*$R9*1000</f>
        <v>1.6782033148770805E-4</v>
      </c>
      <c r="AP9" s="18">
        <f>(('Filter Weights'!DN9)/$Q9)*$R9*1000</f>
        <v>0</v>
      </c>
      <c r="AQ9" s="18">
        <f>(('Filter Weights'!DO9)/$Q9)*$R9*1000</f>
        <v>0</v>
      </c>
      <c r="AR9" s="18">
        <f>(('Filter Weights'!DP9)/$Q9)*$R9*1000</f>
        <v>7.1877361453076782E-5</v>
      </c>
      <c r="AS9" s="18">
        <f>(('Filter Weights'!DQ9)/$Q9)*$R9*1000</f>
        <v>4.0567580538562482E-3</v>
      </c>
      <c r="AT9" s="18">
        <f>(('Filter Weights'!DR9)/$Q9)*$R9*1000</f>
        <v>2.2032019790504466E-5</v>
      </c>
      <c r="AU9" s="18">
        <f>(('Filter Weights'!DS9)/$Q9)*$R9*1000</f>
        <v>0</v>
      </c>
      <c r="AV9" s="18">
        <f>(('Filter Weights'!DT9)/$Q9)*$R9*1000</f>
        <v>0</v>
      </c>
      <c r="AW9" s="18">
        <f>(('Filter Weights'!DU9)/$Q9)*$R9*1000</f>
        <v>1.261847012176237E-4</v>
      </c>
      <c r="AX9" s="18">
        <f>(('Filter Weights'!DV9)/$Q9)*$R9*1000</f>
        <v>0</v>
      </c>
      <c r="AY9" s="18">
        <f>(('Filter Weights'!DW9)/$Q9)*$R9*1000</f>
        <v>0</v>
      </c>
      <c r="AZ9" s="18">
        <f>(('Filter Weights'!DX9)/$Q9)*$R9*1000</f>
        <v>0</v>
      </c>
      <c r="BA9" s="18">
        <f>(('Filter Weights'!DY9)/$Q9)*$R9*1000</f>
        <v>1.1822180666175175E-4</v>
      </c>
      <c r="BB9" s="18">
        <f>(('Filter Weights'!DZ9)/$Q9)*$R9*1000</f>
        <v>0</v>
      </c>
      <c r="BC9" s="18">
        <f>(('Filter Weights'!EA9)/$Q9)*$R9*1000</f>
        <v>0</v>
      </c>
      <c r="BD9" s="18">
        <f>(('Filter Weights'!EB9)/$Q9)*$R9*1000</f>
        <v>7.1877361453076782E-5</v>
      </c>
      <c r="BE9" s="18">
        <f>(('Filter Weights'!EC9)/$Q9)*$R9*1000</f>
        <v>0</v>
      </c>
      <c r="BF9" s="18">
        <f>(('Filter Weights'!ED9)/$Q9)*$R9*1000</f>
        <v>3.1499575403664935E-4</v>
      </c>
      <c r="BG9" s="18">
        <f>(('Filter Weights'!EE9)/$Q9)*$R9*1000</f>
        <v>0</v>
      </c>
      <c r="BH9" s="18">
        <f>(('Filter Weights'!EF9)/$Q9)*$R9*1000</f>
        <v>0</v>
      </c>
      <c r="BI9" s="18">
        <f>(('Filter Weights'!EG9)/$Q9)*$R9*1000</f>
        <v>0</v>
      </c>
      <c r="BJ9" s="18">
        <f>(('Filter Weights'!EH9)/$Q9)*$R9*1000</f>
        <v>0</v>
      </c>
      <c r="BK9" s="18">
        <f>(('Filter Weights'!EI9)/$Q9)*$R9*1000</f>
        <v>7.3426862304347342E-4</v>
      </c>
      <c r="BL9" s="18">
        <f>(('Filter Weights'!EJ9)/$Q9)*$R9*1000</f>
        <v>0</v>
      </c>
      <c r="BM9" s="18">
        <f>(('Filter Weights'!EK9)/$Q9)*$R9*1000</f>
        <v>2.8114382595539254E-4</v>
      </c>
    </row>
    <row r="10" spans="1:65">
      <c r="A10" s="20">
        <f>IF(ISBLANK('Phase CEMS PM Concentrations'!A10),"",'Phase CEMS PM Concentrations'!A10)</f>
        <v>44314</v>
      </c>
      <c r="B10" s="20" t="str">
        <f>IF(ISBLANK('Phase CEMS PM Concentrations'!B10),"",'Phase CEMS PM Concentrations'!B10)</f>
        <v>BK Princess</v>
      </c>
      <c r="C10" s="20" t="str">
        <f>IF(ISBLANK('Phase CEMS PM Concentrations'!C10),"",'Phase CEMS PM Concentrations'!C10)</f>
        <v>Wet spruce</v>
      </c>
      <c r="D10" s="20" t="str">
        <f>IF(ISBLANK('Phase CEMS PM Concentrations'!D10),"",'Phase CEMS PM Concentrations'!D10)</f>
        <v>Low</v>
      </c>
      <c r="E10" s="23">
        <v>44314.374305555553</v>
      </c>
      <c r="F10" s="23">
        <v>44314.656944444447</v>
      </c>
      <c r="G10" s="80">
        <v>0.80775997464214255</v>
      </c>
      <c r="H10" s="80">
        <v>0.97659557966027877</v>
      </c>
      <c r="I10" s="80">
        <v>0.82711819658566565</v>
      </c>
      <c r="J10" s="81">
        <v>30372.152177303586</v>
      </c>
      <c r="K10" s="81">
        <v>37600.466884682166</v>
      </c>
      <c r="L10" s="9">
        <f>44*('Phase CEMS VOC Concentration'!J10-Backgrounds!J10)/ (0.082*('Phase Parameters'!$R10+273.15))</f>
        <v>1103.4396791600352</v>
      </c>
      <c r="M10" s="9">
        <f>28*('Phase CEMS VOC Concentration'!K10-Backgrounds!L10)/ (0.082*('Phase Parameters'!$R10+273.15))</f>
        <v>18.308798098607507</v>
      </c>
      <c r="N10" s="9">
        <f>16.01*('Phase CEMS VOC Concentration'!L10-Backgrounds!M10)/ (0.082*('Phase Parameters'!$R10+273.15))</f>
        <v>21.102298315857752</v>
      </c>
      <c r="O10" s="9">
        <f>16.01*('Phase CEMS VOC Concentration'!M10-Backgrounds!N10)/ (0.082*('Phase Parameters'!$R10+273.15))</f>
        <v>11.054352573685041</v>
      </c>
      <c r="P10" s="9">
        <f>31.61*('Phase CEMS VOC Concentration'!N10-Backgrounds!O10)/ (0.082*('Phase Parameters'!$R10+273.15))</f>
        <v>0.586407647228115</v>
      </c>
      <c r="Q10" s="9">
        <f t="shared" si="0"/>
        <v>332.88714622498134</v>
      </c>
      <c r="R10" s="2">
        <f t="shared" si="5"/>
        <v>0.51910000000000001</v>
      </c>
      <c r="S10" s="2">
        <f>(L10/'Emission Factors'!Q10)*R10*1000</f>
        <v>1720.6898612566167</v>
      </c>
      <c r="T10" s="2">
        <f t="shared" si="6"/>
        <v>28.550507884626537</v>
      </c>
      <c r="U10" s="2">
        <f t="shared" si="2"/>
        <v>32.906656745341479</v>
      </c>
      <c r="V10" s="2">
        <f t="shared" si="3"/>
        <v>17.238017406420589</v>
      </c>
      <c r="W10" s="2">
        <f t="shared" si="4"/>
        <v>0.9144366585737238</v>
      </c>
      <c r="X10" s="2">
        <f>(('Phase CEMS PM Concentrations'!X10-Backgrounds!S10)/$Q10)*$R10*1000</f>
        <v>0</v>
      </c>
      <c r="Y10" s="2">
        <f>(('Filter Weights'!CY10)/$Q10)*$R10*1000</f>
        <v>2.952015832902247</v>
      </c>
      <c r="Z10" s="2">
        <f>(('Filter Weights'!EL10)/$Q10)*$R10*1000</f>
        <v>1.4270953738895229</v>
      </c>
      <c r="AA10" s="2">
        <f>(('Filter Weights'!EM10)/$Q10)*$R10*1000</f>
        <v>7.3461960484302619E-2</v>
      </c>
      <c r="AB10" s="18">
        <f>(('Filter Weights'!CZ10)/$Q10)*$R10*1000</f>
        <v>0</v>
      </c>
      <c r="AC10" s="18">
        <f>(('Filter Weights'!DA10)/$Q10)*$R10*1000</f>
        <v>0</v>
      </c>
      <c r="AD10" s="18">
        <f>(('Filter Weights'!DB10)/$Q10)*$R10*1000</f>
        <v>0</v>
      </c>
      <c r="AE10" s="18">
        <f>(('Filter Weights'!DC10)/$Q10)*$R10*1000</f>
        <v>0</v>
      </c>
      <c r="AF10" s="18">
        <f>(('Filter Weights'!DD10)/$Q10)*$R10*1000</f>
        <v>5.8919405733859273E-5</v>
      </c>
      <c r="AG10" s="18">
        <f>(('Filter Weights'!DE10)/$Q10)*$R10*1000</f>
        <v>5.5876049611146162E-3</v>
      </c>
      <c r="AH10" s="18">
        <f>(('Filter Weights'!DF10)/$Q10)*$R10*1000</f>
        <v>9.5708732924410424E-3</v>
      </c>
      <c r="AI10" s="18">
        <f>(('Filter Weights'!DG10)/$Q10)*$R10*1000</f>
        <v>1.6314608113899714E-2</v>
      </c>
      <c r="AJ10" s="18">
        <f>(('Filter Weights'!DH10)/$Q10)*$R10*1000</f>
        <v>9.8262761599552198E-4</v>
      </c>
      <c r="AK10" s="18">
        <f>(('Filter Weights'!DI10)/$Q10)*$R10*1000</f>
        <v>0</v>
      </c>
      <c r="AL10" s="18">
        <f>(('Filter Weights'!DJ10)/$Q10)*$R10*1000</f>
        <v>0</v>
      </c>
      <c r="AM10" s="18">
        <f>(('Filter Weights'!DK10)/$Q10)*$R10*1000</f>
        <v>0</v>
      </c>
      <c r="AN10" s="18">
        <f>(('Filter Weights'!DL10)/$Q10)*$R10*1000</f>
        <v>1.6307882970856754E-5</v>
      </c>
      <c r="AO10" s="18">
        <f>(('Filter Weights'!DM10)/$Q10)*$R10*1000</f>
        <v>0</v>
      </c>
      <c r="AP10" s="18">
        <f>(('Filter Weights'!DN10)/$Q10)*$R10*1000</f>
        <v>0</v>
      </c>
      <c r="AQ10" s="18">
        <f>(('Filter Weights'!DO10)/$Q10)*$R10*1000</f>
        <v>0</v>
      </c>
      <c r="AR10" s="18">
        <f>(('Filter Weights'!DP10)/$Q10)*$R10*1000</f>
        <v>2.2587306924316883E-5</v>
      </c>
      <c r="AS10" s="18">
        <f>(('Filter Weights'!DQ10)/$Q10)*$R10*1000</f>
        <v>1.2010153377203941E-3</v>
      </c>
      <c r="AT10" s="18">
        <f>(('Filter Weights'!DR10)/$Q10)*$R10*1000</f>
        <v>0</v>
      </c>
      <c r="AU10" s="18">
        <f>(('Filter Weights'!DS10)/$Q10)*$R10*1000</f>
        <v>0</v>
      </c>
      <c r="AV10" s="18">
        <f>(('Filter Weights'!DT10)/$Q10)*$R10*1000</f>
        <v>0</v>
      </c>
      <c r="AW10" s="18">
        <f>(('Filter Weights'!DU10)/$Q10)*$R10*1000</f>
        <v>0</v>
      </c>
      <c r="AX10" s="18">
        <f>(('Filter Weights'!DV10)/$Q10)*$R10*1000</f>
        <v>6.0961036073636531E-5</v>
      </c>
      <c r="AY10" s="18">
        <f>(('Filter Weights'!DW10)/$Q10)*$R10*1000</f>
        <v>9.1155917230278835E-5</v>
      </c>
      <c r="AZ10" s="18">
        <f>(('Filter Weights'!DX10)/$Q10)*$R10*1000</f>
        <v>1.8150514492754637E-5</v>
      </c>
      <c r="BA10" s="18">
        <f>(('Filter Weights'!DY10)/$Q10)*$R10*1000</f>
        <v>0</v>
      </c>
      <c r="BB10" s="18">
        <f>(('Filter Weights'!DZ10)/$Q10)*$R10*1000</f>
        <v>0</v>
      </c>
      <c r="BC10" s="18">
        <f>(('Filter Weights'!EA10)/$Q10)*$R10*1000</f>
        <v>0</v>
      </c>
      <c r="BD10" s="18">
        <f>(('Filter Weights'!EB10)/$Q10)*$R10*1000</f>
        <v>0</v>
      </c>
      <c r="BE10" s="18">
        <f>(('Filter Weights'!EC10)/$Q10)*$R10*1000</f>
        <v>0</v>
      </c>
      <c r="BF10" s="18">
        <f>(('Filter Weights'!ED10)/$Q10)*$R10*1000</f>
        <v>8.8124421434767087E-5</v>
      </c>
      <c r="BG10" s="18">
        <f>(('Filter Weights'!EE10)/$Q10)*$R10*1000</f>
        <v>3.327594323671684E-4</v>
      </c>
      <c r="BH10" s="18">
        <f>(('Filter Weights'!EF10)/$Q10)*$R10*1000</f>
        <v>0</v>
      </c>
      <c r="BI10" s="18">
        <f>(('Filter Weights'!EG10)/$Q10)*$R10*1000</f>
        <v>0</v>
      </c>
      <c r="BJ10" s="18">
        <f>(('Filter Weights'!EH10)/$Q10)*$R10*1000</f>
        <v>1.2745694621578814E-4</v>
      </c>
      <c r="BK10" s="18">
        <f>(('Filter Weights'!EI10)/$Q10)*$R10*1000</f>
        <v>0</v>
      </c>
      <c r="BL10" s="18">
        <f>(('Filter Weights'!EJ10)/$Q10)*$R10*1000</f>
        <v>0</v>
      </c>
      <c r="BM10" s="18">
        <f>(('Filter Weights'!EK10)/$Q10)*$R10*1000</f>
        <v>0</v>
      </c>
    </row>
    <row r="11" spans="1:65">
      <c r="A11" s="20">
        <f>IF(ISBLANK('Phase CEMS PM Concentrations'!A11),"",'Phase CEMS PM Concentrations'!A11)</f>
        <v>44315</v>
      </c>
      <c r="B11" s="20" t="str">
        <f>IF(ISBLANK('Phase CEMS PM Concentrations'!B11),"",'Phase CEMS PM Concentrations'!B11)</f>
        <v>BK Princess</v>
      </c>
      <c r="C11" s="20" t="str">
        <f>IF(ISBLANK('Phase CEMS PM Concentrations'!C11),"",'Phase CEMS PM Concentrations'!C11)</f>
        <v>Wet spruce</v>
      </c>
      <c r="D11" s="20" t="str">
        <f>IF(ISBLANK('Phase CEMS PM Concentrations'!D11),"",'Phase CEMS PM Concentrations'!D11)</f>
        <v>Startup</v>
      </c>
      <c r="E11" s="23">
        <v>44315.34375</v>
      </c>
      <c r="F11" s="23">
        <v>44315.359027777777</v>
      </c>
      <c r="G11" s="80">
        <v>0.60788437090929381</v>
      </c>
      <c r="H11" s="80">
        <v>0.9323822336724491</v>
      </c>
      <c r="I11" s="80">
        <v>0.65196906263965437</v>
      </c>
      <c r="J11" s="81">
        <v>65176.184950091847</v>
      </c>
      <c r="K11" s="81">
        <v>107218.06328496178</v>
      </c>
      <c r="L11" s="9">
        <f>44*('Phase CEMS VOC Concentration'!J11-Backgrounds!J11)/ (0.082*('Phase Parameters'!$R11+273.15))</f>
        <v>4391.3056989055731</v>
      </c>
      <c r="M11" s="9">
        <f>28*('Phase CEMS VOC Concentration'!K11-Backgrounds!L11)/ (0.082*('Phase Parameters'!$R11+273.15))</f>
        <v>192.26985655378783</v>
      </c>
      <c r="N11" s="9">
        <f>16.01*('Phase CEMS VOC Concentration'!L11-Backgrounds!M11)/ (0.082*('Phase Parameters'!$R11+273.15))</f>
        <v>54.122097142690713</v>
      </c>
      <c r="O11" s="9">
        <f>16.01*('Phase CEMS VOC Concentration'!M11-Backgrounds!N11)/ (0.082*('Phase Parameters'!$R11+273.15))</f>
        <v>10.914818152747619</v>
      </c>
      <c r="P11" s="9">
        <f>31.61*('Phase CEMS VOC Concentration'!N11-Backgrounds!O11)/ (0.082*('Phase Parameters'!$R11+273.15))</f>
        <v>2.9770959572494653</v>
      </c>
      <c r="Q11" s="9">
        <f t="shared" si="0"/>
        <v>1328.7774135281443</v>
      </c>
      <c r="R11" s="2">
        <f t="shared" si="5"/>
        <v>0.51910000000000001</v>
      </c>
      <c r="S11" s="2">
        <f>(L11/'Emission Factors'!Q11)*R11*1000</f>
        <v>1715.5068750373528</v>
      </c>
      <c r="T11" s="2">
        <f t="shared" si="6"/>
        <v>75.112115483709857</v>
      </c>
      <c r="U11" s="2">
        <f t="shared" si="2"/>
        <v>21.143330960280267</v>
      </c>
      <c r="V11" s="2">
        <f t="shared" si="3"/>
        <v>4.2639813451128346</v>
      </c>
      <c r="W11" s="2">
        <f t="shared" si="4"/>
        <v>1.1630318935846846</v>
      </c>
      <c r="X11" s="2">
        <f>(('Phase CEMS PM Concentrations'!X11-Backgrounds!S11)/$Q11)*$R11*1000</f>
        <v>0.59576042939958729</v>
      </c>
      <c r="Y11" s="2">
        <f>(('Filter Weights'!CY11)/$Q11)*$R11*1000</f>
        <v>7.9729471326941326</v>
      </c>
      <c r="Z11" s="2">
        <f>(('Filter Weights'!EL11)/$Q11)*$R11*1000</f>
        <v>3.8599041627478696</v>
      </c>
      <c r="AA11" s="2">
        <f>(('Filter Weights'!EM11)/$Q11)*$R11*1000</f>
        <v>0.34629694156743079</v>
      </c>
      <c r="AB11" s="18">
        <f>(('Filter Weights'!CZ11)/$Q11)*$R11*1000</f>
        <v>1.378677519785567E-2</v>
      </c>
      <c r="AC11" s="18">
        <f>(('Filter Weights'!DA11)/$Q11)*$R11*1000</f>
        <v>0</v>
      </c>
      <c r="AD11" s="18">
        <f>(('Filter Weights'!DB11)/$Q11)*$R11*1000</f>
        <v>0</v>
      </c>
      <c r="AE11" s="18">
        <f>(('Filter Weights'!DC11)/$Q11)*$R11*1000</f>
        <v>2.2507263808040846E-3</v>
      </c>
      <c r="AF11" s="18">
        <f>(('Filter Weights'!DD11)/$Q11)*$R11*1000</f>
        <v>0</v>
      </c>
      <c r="AG11" s="18">
        <f>(('Filter Weights'!DE11)/$Q11)*$R11*1000</f>
        <v>1.3646048516465276E-2</v>
      </c>
      <c r="AH11" s="18">
        <f>(('Filter Weights'!DF11)/$Q11)*$R11*1000</f>
        <v>1.531567302178821E-2</v>
      </c>
      <c r="AI11" s="18">
        <f>(('Filter Weights'!DG11)/$Q11)*$R11*1000</f>
        <v>1.48039908706586E-2</v>
      </c>
      <c r="AJ11" s="18">
        <f>(('Filter Weights'!DH11)/$Q11)*$R11*1000</f>
        <v>4.8668781454776289E-3</v>
      </c>
      <c r="AK11" s="18">
        <f>(('Filter Weights'!DI11)/$Q11)*$R11*1000</f>
        <v>0</v>
      </c>
      <c r="AL11" s="18">
        <f>(('Filter Weights'!DJ11)/$Q11)*$R11*1000</f>
        <v>0</v>
      </c>
      <c r="AM11" s="18">
        <f>(('Filter Weights'!DK11)/$Q11)*$R11*1000</f>
        <v>0</v>
      </c>
      <c r="AN11" s="18">
        <f>(('Filter Weights'!DL11)/$Q11)*$R11*1000</f>
        <v>1.0749035883951049E-4</v>
      </c>
      <c r="AO11" s="18">
        <f>(('Filter Weights'!DM11)/$Q11)*$R11*1000</f>
        <v>5.5290835290038975E-4</v>
      </c>
      <c r="AP11" s="18">
        <f>(('Filter Weights'!DN11)/$Q11)*$R11*1000</f>
        <v>0</v>
      </c>
      <c r="AQ11" s="18">
        <f>(('Filter Weights'!DO11)/$Q11)*$R11*1000</f>
        <v>0</v>
      </c>
      <c r="AR11" s="18">
        <f>(('Filter Weights'!DP11)/$Q11)*$R11*1000</f>
        <v>0</v>
      </c>
      <c r="AS11" s="18">
        <f>(('Filter Weights'!DQ11)/$Q11)*$R11*1000</f>
        <v>3.2987410822917841E-3</v>
      </c>
      <c r="AT11" s="18">
        <f>(('Filter Weights'!DR11)/$Q11)*$R11*1000</f>
        <v>0</v>
      </c>
      <c r="AU11" s="18">
        <f>(('Filter Weights'!DS11)/$Q11)*$R11*1000</f>
        <v>0</v>
      </c>
      <c r="AV11" s="18">
        <f>(('Filter Weights'!DT11)/$Q11)*$R11*1000</f>
        <v>3.6145000122796061E-5</v>
      </c>
      <c r="AW11" s="18">
        <f>(('Filter Weights'!DU11)/$Q11)*$R11*1000</f>
        <v>1.9506039262752388E-5</v>
      </c>
      <c r="AX11" s="18">
        <f>(('Filter Weights'!DV11)/$Q11)*$R11*1000</f>
        <v>5.8385534119077801E-5</v>
      </c>
      <c r="AY11" s="18">
        <f>(('Filter Weights'!DW11)/$Q11)*$R11*1000</f>
        <v>1.9506039262752388E-5</v>
      </c>
      <c r="AZ11" s="18">
        <f>(('Filter Weights'!DX11)/$Q11)*$R11*1000</f>
        <v>1.9506039262752388E-5</v>
      </c>
      <c r="BA11" s="18">
        <f>(('Filter Weights'!DY11)/$Q11)*$R11*1000</f>
        <v>2.1436185667314639E-4</v>
      </c>
      <c r="BB11" s="18">
        <f>(('Filter Weights'!DZ11)/$Q11)*$R11*1000</f>
        <v>0</v>
      </c>
      <c r="BC11" s="18">
        <f>(('Filter Weights'!EA11)/$Q11)*$R11*1000</f>
        <v>0</v>
      </c>
      <c r="BD11" s="18">
        <f>(('Filter Weights'!EB11)/$Q11)*$R11*1000</f>
        <v>0</v>
      </c>
      <c r="BE11" s="18">
        <f>(('Filter Weights'!EC11)/$Q11)*$R11*1000</f>
        <v>0</v>
      </c>
      <c r="BF11" s="18">
        <f>(('Filter Weights'!ED11)/$Q11)*$R11*1000</f>
        <v>4.3512774014433866E-4</v>
      </c>
      <c r="BG11" s="18">
        <f>(('Filter Weights'!EE11)/$Q11)*$R11*1000</f>
        <v>8.6181228015433267E-4</v>
      </c>
      <c r="BH11" s="18">
        <f>(('Filter Weights'!EF11)/$Q11)*$R11*1000</f>
        <v>2.41165576339484E-4</v>
      </c>
      <c r="BI11" s="18">
        <f>(('Filter Weights'!EG11)/$Q11)*$R11*1000</f>
        <v>0</v>
      </c>
      <c r="BJ11" s="18">
        <f>(('Filter Weights'!EH11)/$Q11)*$R11*1000</f>
        <v>0</v>
      </c>
      <c r="BK11" s="18">
        <f>(('Filter Weights'!EI11)/$Q11)*$R11*1000</f>
        <v>0</v>
      </c>
      <c r="BL11" s="18">
        <f>(('Filter Weights'!EJ11)/$Q11)*$R11*1000</f>
        <v>7.9797433347623378E-5</v>
      </c>
      <c r="BM11" s="18">
        <f>(('Filter Weights'!EK11)/$Q11)*$R11*1000</f>
        <v>1.94855817410394E-4</v>
      </c>
    </row>
    <row r="12" spans="1:65">
      <c r="A12" s="20">
        <f>IF(ISBLANK('Phase CEMS PM Concentrations'!A12),"",'Phase CEMS PM Concentrations'!A12)</f>
        <v>44315</v>
      </c>
      <c r="B12" s="20" t="str">
        <f>IF(ISBLANK('Phase CEMS PM Concentrations'!B12),"",'Phase CEMS PM Concentrations'!B12)</f>
        <v>BK Princess</v>
      </c>
      <c r="C12" s="20" t="str">
        <f>IF(ISBLANK('Phase CEMS PM Concentrations'!C12),"",'Phase CEMS PM Concentrations'!C12)</f>
        <v>Wet spruce</v>
      </c>
      <c r="D12" s="20" t="str">
        <f>IF(ISBLANK('Phase CEMS PM Concentrations'!D12),"",'Phase CEMS PM Concentrations'!D12)</f>
        <v>Low</v>
      </c>
      <c r="E12" s="23">
        <v>44315.361111111109</v>
      </c>
      <c r="F12" s="23">
        <v>44315.736111111109</v>
      </c>
      <c r="G12" s="80">
        <v>0.77817971339323677</v>
      </c>
      <c r="H12" s="80">
        <v>0.95152616169335258</v>
      </c>
      <c r="I12" s="80">
        <v>0.81782271967002418</v>
      </c>
      <c r="J12" s="81">
        <v>21146.912073920477</v>
      </c>
      <c r="K12" s="81">
        <v>27174.843689653382</v>
      </c>
      <c r="L12" s="9">
        <f>44*('Phase CEMS VOC Concentration'!J12-Backgrounds!J12)/ (0.082*('Phase Parameters'!$R12+273.15))</f>
        <v>734.68339739958776</v>
      </c>
      <c r="M12" s="9">
        <f>28*('Phase CEMS VOC Concentration'!K12-Backgrounds!L12)/ (0.082*('Phase Parameters'!$R12+273.15))</f>
        <v>27.064054869514059</v>
      </c>
      <c r="N12" s="9">
        <f>16.01*('Phase CEMS VOC Concentration'!L12-Backgrounds!M12)/ (0.082*('Phase Parameters'!$R12+273.15))</f>
        <v>25.09686658133926</v>
      </c>
      <c r="O12" s="9">
        <f>16.01*('Phase CEMS VOC Concentration'!M12-Backgrounds!N12)/ (0.082*('Phase Parameters'!$R12+273.15))</f>
        <v>8.1019372445052831</v>
      </c>
      <c r="P12" s="9">
        <f>31.61*('Phase CEMS VOC Concentration'!N12-Backgrounds!O12)/ (0.082*('Phase Parameters'!$R12+273.15))</f>
        <v>0.39422373566285357</v>
      </c>
      <c r="Q12" s="9">
        <f t="shared" si="0"/>
        <v>236.85063059938682</v>
      </c>
      <c r="R12" s="2">
        <f t="shared" si="5"/>
        <v>0.51910000000000001</v>
      </c>
      <c r="S12" s="2">
        <f>(L12/'Emission Factors'!Q12)*R12*1000</f>
        <v>1610.1884577001135</v>
      </c>
      <c r="T12" s="2">
        <f t="shared" si="6"/>
        <v>59.315657497772861</v>
      </c>
      <c r="U12" s="2">
        <f t="shared" si="2"/>
        <v>55.004216832374091</v>
      </c>
      <c r="V12" s="2">
        <f t="shared" si="3"/>
        <v>17.756826794083196</v>
      </c>
      <c r="W12" s="2">
        <f t="shared" si="4"/>
        <v>0.86401096194977611</v>
      </c>
      <c r="X12" s="2">
        <f>(('Phase CEMS PM Concentrations'!X12-Backgrounds!S12)/$Q12)*$R12*1000</f>
        <v>0.22960793738389479</v>
      </c>
      <c r="Y12" s="2">
        <f>(('Filter Weights'!CY12)/$Q12)*$R12*1000</f>
        <v>12.71812459328754</v>
      </c>
      <c r="Z12" s="2">
        <f>(('Filter Weights'!EL12)/$Q12)*$R12*1000</f>
        <v>6.3578885263688889</v>
      </c>
      <c r="AA12" s="2">
        <f>(('Filter Weights'!EM12)/$Q12)*$R12*1000</f>
        <v>5.6986340965304319E-2</v>
      </c>
      <c r="AB12" s="18">
        <f>(('Filter Weights'!CZ12)/$Q12)*$R12*1000</f>
        <v>0</v>
      </c>
      <c r="AC12" s="18">
        <f>(('Filter Weights'!DA12)/$Q12)*$R12*1000</f>
        <v>0</v>
      </c>
      <c r="AD12" s="18">
        <f>(('Filter Weights'!DB12)/$Q12)*$R12*1000</f>
        <v>2.2589854602760904E-4</v>
      </c>
      <c r="AE12" s="18">
        <f>(('Filter Weights'!DC12)/$Q12)*$R12*1000</f>
        <v>1.2027019265523447E-4</v>
      </c>
      <c r="AF12" s="18">
        <f>(('Filter Weights'!DD12)/$Q12)*$R12*1000</f>
        <v>4.7771119749128901E-5</v>
      </c>
      <c r="AG12" s="18">
        <f>(('Filter Weights'!DE12)/$Q12)*$R12*1000</f>
        <v>3.8730219090908134E-3</v>
      </c>
      <c r="AH12" s="18">
        <f>(('Filter Weights'!DF12)/$Q12)*$R12*1000</f>
        <v>7.4600931489738108E-3</v>
      </c>
      <c r="AI12" s="18">
        <f>(('Filter Weights'!DG12)/$Q12)*$R12*1000</f>
        <v>1.2628917561857089E-2</v>
      </c>
      <c r="AJ12" s="18">
        <f>(('Filter Weights'!DH12)/$Q12)*$R12*1000</f>
        <v>1.8809821352296552E-3</v>
      </c>
      <c r="AK12" s="18">
        <f>(('Filter Weights'!DI12)/$Q12)*$R12*1000</f>
        <v>1.1836896346991323E-4</v>
      </c>
      <c r="AL12" s="18">
        <f>(('Filter Weights'!DJ12)/$Q12)*$R12*1000</f>
        <v>0</v>
      </c>
      <c r="AM12" s="18">
        <f>(('Filter Weights'!DK12)/$Q12)*$R12*1000</f>
        <v>0</v>
      </c>
      <c r="AN12" s="18">
        <f>(('Filter Weights'!DL12)/$Q12)*$R12*1000</f>
        <v>5.0915491256277373E-5</v>
      </c>
      <c r="AO12" s="18">
        <f>(('Filter Weights'!DM12)/$Q12)*$R12*1000</f>
        <v>2.2502859641833673E-4</v>
      </c>
      <c r="AP12" s="18">
        <f>(('Filter Weights'!DN12)/$Q12)*$R12*1000</f>
        <v>0</v>
      </c>
      <c r="AQ12" s="18">
        <f>(('Filter Weights'!DO12)/$Q12)*$R12*1000</f>
        <v>0</v>
      </c>
      <c r="AR12" s="18">
        <f>(('Filter Weights'!DP12)/$Q12)*$R12*1000</f>
        <v>5.5455238736019536E-5</v>
      </c>
      <c r="AS12" s="18">
        <f>(('Filter Weights'!DQ12)/$Q12)*$R12*1000</f>
        <v>1.2994417726328116E-3</v>
      </c>
      <c r="AT12" s="18">
        <f>(('Filter Weights'!DR12)/$Q12)*$R12*1000</f>
        <v>0</v>
      </c>
      <c r="AU12" s="18">
        <f>(('Filter Weights'!DS12)/$Q12)*$R12*1000</f>
        <v>1.8349159875888817E-5</v>
      </c>
      <c r="AV12" s="18">
        <f>(('Filter Weights'!DT12)/$Q12)*$R12*1000</f>
        <v>0</v>
      </c>
      <c r="AW12" s="18">
        <f>(('Filter Weights'!DU12)/$Q12)*$R12*1000</f>
        <v>2.7727619368009768E-5</v>
      </c>
      <c r="AX12" s="18">
        <f>(('Filter Weights'!DV12)/$Q12)*$R12*1000</f>
        <v>3.0899189519087391E-5</v>
      </c>
      <c r="AY12" s="18">
        <f>(('Filter Weights'!DW12)/$Q12)*$R12*1000</f>
        <v>6.9319048420024424E-5</v>
      </c>
      <c r="AZ12" s="18">
        <f>(('Filter Weights'!DX12)/$Q12)*$R12*1000</f>
        <v>6.4425939119787422E-5</v>
      </c>
      <c r="BA12" s="18">
        <f>(('Filter Weights'!DY12)/$Q12)*$R12*1000</f>
        <v>0</v>
      </c>
      <c r="BB12" s="18">
        <f>(('Filter Weights'!DZ12)/$Q12)*$R12*1000</f>
        <v>4.1591429052014663E-5</v>
      </c>
      <c r="BC12" s="18">
        <f>(('Filter Weights'!EA12)/$Q12)*$R12*1000</f>
        <v>0</v>
      </c>
      <c r="BD12" s="18">
        <f>(('Filter Weights'!EB12)/$Q12)*$R12*1000</f>
        <v>0</v>
      </c>
      <c r="BE12" s="18">
        <f>(('Filter Weights'!EC12)/$Q12)*$R12*1000</f>
        <v>8.2775098995676246E-5</v>
      </c>
      <c r="BF12" s="18">
        <f>(('Filter Weights'!ED12)/$Q12)*$R12*1000</f>
        <v>0</v>
      </c>
      <c r="BG12" s="18">
        <f>(('Filter Weights'!EE12)/$Q12)*$R12*1000</f>
        <v>0</v>
      </c>
      <c r="BH12" s="18">
        <f>(('Filter Weights'!EF12)/$Q12)*$R12*1000</f>
        <v>5.1622303117500551E-4</v>
      </c>
      <c r="BI12" s="18">
        <f>(('Filter Weights'!EG12)/$Q12)*$R12*1000</f>
        <v>1.8430711697559434E-4</v>
      </c>
      <c r="BJ12" s="18">
        <f>(('Filter Weights'!EH12)/$Q12)*$R12*1000</f>
        <v>0</v>
      </c>
      <c r="BK12" s="18">
        <f>(('Filter Weights'!EI12)/$Q12)*$R12*1000</f>
        <v>0</v>
      </c>
      <c r="BL12" s="18">
        <f>(('Filter Weights'!EJ12)/$Q12)*$R12*1000</f>
        <v>0</v>
      </c>
      <c r="BM12" s="18">
        <f>(('Filter Weights'!EK12)/$Q12)*$R12*1000</f>
        <v>0</v>
      </c>
    </row>
    <row r="13" spans="1:65">
      <c r="A13" s="20">
        <f>IF(ISBLANK('Phase CEMS PM Concentrations'!A13),"",'Phase CEMS PM Concentrations'!A13)</f>
        <v>44326</v>
      </c>
      <c r="B13" s="20" t="str">
        <f>IF(ISBLANK('Phase CEMS PM Concentrations'!B13),"",'Phase CEMS PM Concentrations'!B13)</f>
        <v>BK Princess</v>
      </c>
      <c r="C13" s="20" t="str">
        <f>IF(ISBLANK('Phase CEMS PM Concentrations'!C13),"",'Phase CEMS PM Concentrations'!C13)</f>
        <v>Wet spruce</v>
      </c>
      <c r="D13" s="20" t="str">
        <f>IF(ISBLANK('Phase CEMS PM Concentrations'!D13),"",'Phase CEMS PM Concentrations'!D13)</f>
        <v>Startup</v>
      </c>
      <c r="E13" s="23">
        <v>44326.392361111109</v>
      </c>
      <c r="F13" s="23">
        <v>44326.410416666666</v>
      </c>
      <c r="G13" s="80">
        <v>0.68423635883817446</v>
      </c>
      <c r="H13" s="80">
        <v>0.93175972289160502</v>
      </c>
      <c r="I13" s="80">
        <v>0.73434850426323284</v>
      </c>
      <c r="J13" s="81">
        <v>71147.322358564154</v>
      </c>
      <c r="K13" s="81">
        <v>103980.6222507256</v>
      </c>
      <c r="L13" s="9">
        <f>44*('Phase CEMS VOC Concentration'!J13-Backgrounds!J13)/ (0.082*('Phase Parameters'!$R13+273.15))</f>
        <v>3117.7900757030707</v>
      </c>
      <c r="M13" s="9">
        <f>28*('Phase CEMS VOC Concentration'!K13-Backgrounds!L13)/ (0.082*('Phase Parameters'!$R13+273.15))</f>
        <v>138.80369134929245</v>
      </c>
      <c r="N13" s="9">
        <f>16.01*('Phase CEMS VOC Concentration'!L13-Backgrounds!M13)/ (0.082*('Phase Parameters'!$R13+273.15))</f>
        <v>55.315777031188723</v>
      </c>
      <c r="O13" s="9">
        <f>16.01*('Phase CEMS VOC Concentration'!M13-Backgrounds!N13)/ (0.082*('Phase Parameters'!$R13+273.15))</f>
        <v>8.6671862477928663</v>
      </c>
      <c r="P13" s="9">
        <f>31.61*('Phase CEMS VOC Concentration'!N13-Backgrounds!O13)/ (0.082*('Phase Parameters'!$R13+273.15))</f>
        <v>1.6877498349911086</v>
      </c>
      <c r="Q13" s="9">
        <f t="shared" si="0"/>
        <v>957.7509297537091</v>
      </c>
      <c r="R13" s="2">
        <f t="shared" si="5"/>
        <v>0.51910000000000001</v>
      </c>
      <c r="S13" s="2">
        <f>(L13/'Emission Factors'!Q13)*R13*1000</f>
        <v>1689.8389529244896</v>
      </c>
      <c r="T13" s="2">
        <f t="shared" si="6"/>
        <v>75.231455215550184</v>
      </c>
      <c r="U13" s="2">
        <f t="shared" si="2"/>
        <v>29.981093168214556</v>
      </c>
      <c r="V13" s="2">
        <f t="shared" si="3"/>
        <v>4.6976058612506435</v>
      </c>
      <c r="W13" s="2">
        <f t="shared" si="4"/>
        <v>0.91475864144468255</v>
      </c>
      <c r="X13" s="2">
        <f>(('Phase CEMS PM Concentrations'!X13-Backgrounds!S13)/$Q13)*$R13*1000</f>
        <v>0.78226437712011898</v>
      </c>
      <c r="Y13" s="2">
        <f>(('Filter Weights'!CY13)/$Q13)*$R13*1000</f>
        <v>13.046095382667385</v>
      </c>
      <c r="Z13" s="2">
        <f>(('Filter Weights'!EL13)/$Q13)*$R13*1000</f>
        <v>6.6410899375522074</v>
      </c>
      <c r="AA13" s="2">
        <f>(('Filter Weights'!EM13)/$Q13)*$R13*1000</f>
        <v>0.33918128744010811</v>
      </c>
      <c r="AB13" s="18">
        <f>(('Filter Weights'!CZ13)/$Q13)*$R13*1000</f>
        <v>7.8862605118050887E-3</v>
      </c>
      <c r="AC13" s="18">
        <f>(('Filter Weights'!DA13)/$Q13)*$R13*1000</f>
        <v>1.2140096674625897E-4</v>
      </c>
      <c r="AD13" s="18">
        <f>(('Filter Weights'!DB13)/$Q13)*$R13*1000</f>
        <v>0</v>
      </c>
      <c r="AE13" s="18">
        <f>(('Filter Weights'!DC13)/$Q13)*$R13*1000</f>
        <v>0</v>
      </c>
      <c r="AF13" s="18">
        <f>(('Filter Weights'!DD13)/$Q13)*$R13*1000</f>
        <v>0</v>
      </c>
      <c r="AG13" s="18">
        <f>(('Filter Weights'!DE13)/$Q13)*$R13*1000</f>
        <v>1.2340274232168758E-2</v>
      </c>
      <c r="AH13" s="18">
        <f>(('Filter Weights'!DF13)/$Q13)*$R13*1000</f>
        <v>1.7825952758799953E-2</v>
      </c>
      <c r="AI13" s="18">
        <f>(('Filter Weights'!DG13)/$Q13)*$R13*1000</f>
        <v>1.9695128726210015E-2</v>
      </c>
      <c r="AJ13" s="18">
        <f>(('Filter Weights'!DH13)/$Q13)*$R13*1000</f>
        <v>3.8762343042317068E-3</v>
      </c>
      <c r="AK13" s="18">
        <f>(('Filter Weights'!DI13)/$Q13)*$R13*1000</f>
        <v>0</v>
      </c>
      <c r="AL13" s="18">
        <f>(('Filter Weights'!DJ13)/$Q13)*$R13*1000</f>
        <v>0</v>
      </c>
      <c r="AM13" s="18">
        <f>(('Filter Weights'!DK13)/$Q13)*$R13*1000</f>
        <v>0</v>
      </c>
      <c r="AN13" s="18">
        <f>(('Filter Weights'!DL13)/$Q13)*$R13*1000</f>
        <v>0</v>
      </c>
      <c r="AO13" s="18">
        <f>(('Filter Weights'!DM13)/$Q13)*$R13*1000</f>
        <v>4.6077549872565666E-4</v>
      </c>
      <c r="AP13" s="18">
        <f>(('Filter Weights'!DN13)/$Q13)*$R13*1000</f>
        <v>9.4910170551843953E-5</v>
      </c>
      <c r="AQ13" s="18">
        <f>(('Filter Weights'!DO13)/$Q13)*$R13*1000</f>
        <v>0</v>
      </c>
      <c r="AR13" s="18">
        <f>(('Filter Weights'!DP13)/$Q13)*$R13*1000</f>
        <v>0</v>
      </c>
      <c r="AS13" s="18">
        <f>(('Filter Weights'!DQ13)/$Q13)*$R13*1000</f>
        <v>3.1957253035033552E-3</v>
      </c>
      <c r="AT13" s="18">
        <f>(('Filter Weights'!DR13)/$Q13)*$R13*1000</f>
        <v>0</v>
      </c>
      <c r="AU13" s="18">
        <f>(('Filter Weights'!DS13)/$Q13)*$R13*1000</f>
        <v>0</v>
      </c>
      <c r="AV13" s="18">
        <f>(('Filter Weights'!DT13)/$Q13)*$R13*1000</f>
        <v>0</v>
      </c>
      <c r="AW13" s="18">
        <f>(('Filter Weights'!DU13)/$Q13)*$R13*1000</f>
        <v>0</v>
      </c>
      <c r="AX13" s="18">
        <f>(('Filter Weights'!DV13)/$Q13)*$R13*1000</f>
        <v>2.4232563017230122E-4</v>
      </c>
      <c r="AY13" s="18">
        <f>(('Filter Weights'!DW13)/$Q13)*$R13*1000</f>
        <v>9.7554348278243804E-5</v>
      </c>
      <c r="AZ13" s="18">
        <f>(('Filter Weights'!DX13)/$Q13)*$R13*1000</f>
        <v>0</v>
      </c>
      <c r="BA13" s="18">
        <f>(('Filter Weights'!DY13)/$Q13)*$R13*1000</f>
        <v>1.137364444028211E-4</v>
      </c>
      <c r="BB13" s="18">
        <f>(('Filter Weights'!DZ13)/$Q13)*$R13*1000</f>
        <v>0</v>
      </c>
      <c r="BC13" s="18">
        <f>(('Filter Weights'!EA13)/$Q13)*$R13*1000</f>
        <v>2.2112318943068594E-4</v>
      </c>
      <c r="BD13" s="18">
        <f>(('Filter Weights'!EB13)/$Q13)*$R13*1000</f>
        <v>1.9510869655648761E-4</v>
      </c>
      <c r="BE13" s="18">
        <f>(('Filter Weights'!EC13)/$Q13)*$R13*1000</f>
        <v>2.2112318943068594E-4</v>
      </c>
      <c r="BF13" s="18">
        <f>(('Filter Weights'!ED13)/$Q13)*$R13*1000</f>
        <v>0</v>
      </c>
      <c r="BG13" s="18">
        <f>(('Filter Weights'!EE13)/$Q13)*$R13*1000</f>
        <v>0</v>
      </c>
      <c r="BH13" s="18">
        <f>(('Filter Weights'!EF13)/$Q13)*$R13*1000</f>
        <v>0</v>
      </c>
      <c r="BI13" s="18">
        <f>(('Filter Weights'!EG13)/$Q13)*$R13*1000</f>
        <v>0</v>
      </c>
      <c r="BJ13" s="18">
        <f>(('Filter Weights'!EH13)/$Q13)*$R13*1000</f>
        <v>9.061715017845758E-4</v>
      </c>
      <c r="BK13" s="18">
        <f>(('Filter Weights'!EI13)/$Q13)*$R13*1000</f>
        <v>6.7997620197955602E-4</v>
      </c>
      <c r="BL13" s="18">
        <f>(('Filter Weights'!EJ13)/$Q13)*$R13*1000</f>
        <v>0</v>
      </c>
      <c r="BM13" s="18">
        <f>(('Filter Weights'!EK13)/$Q13)*$R13*1000</f>
        <v>2.8716639689747674E-4</v>
      </c>
    </row>
    <row r="14" spans="1:65">
      <c r="A14" s="20">
        <f>IF(ISBLANK('Phase CEMS PM Concentrations'!A14),"",'Phase CEMS PM Concentrations'!A14)</f>
        <v>44326</v>
      </c>
      <c r="B14" s="20" t="str">
        <f>IF(ISBLANK('Phase CEMS PM Concentrations'!B14),"",'Phase CEMS PM Concentrations'!B14)</f>
        <v>BK Princess</v>
      </c>
      <c r="C14" s="20" t="str">
        <f>IF(ISBLANK('Phase CEMS PM Concentrations'!C14),"",'Phase CEMS PM Concentrations'!C14)</f>
        <v>Wet spruce</v>
      </c>
      <c r="D14" s="20" t="str">
        <f>IF(ISBLANK('Phase CEMS PM Concentrations'!D14),"",'Phase CEMS PM Concentrations'!D14)</f>
        <v>High</v>
      </c>
      <c r="E14" s="23">
        <v>44326.411805555559</v>
      </c>
      <c r="F14" s="23">
        <v>44326.559374999997</v>
      </c>
      <c r="G14" s="80">
        <v>0.74770405444105104</v>
      </c>
      <c r="H14" s="80">
        <v>0.96897499985770597</v>
      </c>
      <c r="I14" s="80">
        <v>0.77164431956536694</v>
      </c>
      <c r="J14" s="81">
        <v>40452.143135000537</v>
      </c>
      <c r="K14" s="81">
        <v>54101.81059569175</v>
      </c>
      <c r="L14" s="9">
        <f>44*('Phase CEMS VOC Concentration'!J14-Backgrounds!J14)/ (0.082*('Phase Parameters'!$R14+273.15))</f>
        <v>1560.1397424356508</v>
      </c>
      <c r="M14" s="9">
        <f>28*('Phase CEMS VOC Concentration'!K14-Backgrounds!L14)/ (0.082*('Phase Parameters'!$R14+273.15))</f>
        <v>34.133795169330789</v>
      </c>
      <c r="N14" s="9">
        <f>16.01*('Phase CEMS VOC Concentration'!L14-Backgrounds!M14)/ (0.082*('Phase Parameters'!$R14+273.15))</f>
        <v>35.723863905602641</v>
      </c>
      <c r="O14" s="9">
        <f>16.01*('Phase CEMS VOC Concentration'!M14-Backgrounds!N14)/ (0.082*('Phase Parameters'!$R14+273.15))</f>
        <v>12.455923357246521</v>
      </c>
      <c r="P14" s="9">
        <f>31.61*('Phase CEMS VOC Concentration'!N14-Backgrounds!O14)/ (0.082*('Phase Parameters'!$R14+273.15))</f>
        <v>0.85021087018339525</v>
      </c>
      <c r="Q14" s="9">
        <f t="shared" si="0"/>
        <v>476.23369666440237</v>
      </c>
      <c r="R14" s="2">
        <f t="shared" si="5"/>
        <v>0.51910000000000001</v>
      </c>
      <c r="S14" s="2">
        <f>(L14/'Emission Factors'!Q14)*R14*1000</f>
        <v>1700.569585837294</v>
      </c>
      <c r="T14" s="2">
        <f t="shared" si="6"/>
        <v>37.206214504569026</v>
      </c>
      <c r="U14" s="2">
        <f t="shared" si="2"/>
        <v>38.939407024921849</v>
      </c>
      <c r="V14" s="2">
        <f t="shared" si="3"/>
        <v>13.577094313221414</v>
      </c>
      <c r="W14" s="2">
        <f t="shared" si="4"/>
        <v>0.92673925806474799</v>
      </c>
      <c r="X14" s="2">
        <f>(('Phase CEMS PM Concentrations'!X14-Backgrounds!S14)/$Q14)*$R14*1000</f>
        <v>8.611087431912353E-3</v>
      </c>
      <c r="Y14" s="2">
        <f>(('Filter Weights'!CY14)/$Q14)*$R14*1000</f>
        <v>9.2727613550863435</v>
      </c>
      <c r="Z14" s="2">
        <f>(('Filter Weights'!EL14)/$Q14)*$R14*1000</f>
        <v>4.6460198360435037</v>
      </c>
      <c r="AA14" s="2">
        <f>(('Filter Weights'!EM14)/$Q14)*$R14*1000</f>
        <v>5.6116827938813604E-2</v>
      </c>
      <c r="AB14" s="18">
        <f>(('Filter Weights'!CZ14)/$Q14)*$R14*1000</f>
        <v>0</v>
      </c>
      <c r="AC14" s="18">
        <f>(('Filter Weights'!DA14)/$Q14)*$R14*1000</f>
        <v>0</v>
      </c>
      <c r="AD14" s="18">
        <f>(('Filter Weights'!DB14)/$Q14)*$R14*1000</f>
        <v>0</v>
      </c>
      <c r="AE14" s="18">
        <f>(('Filter Weights'!DC14)/$Q14)*$R14*1000</f>
        <v>2.894874135355701E-4</v>
      </c>
      <c r="AF14" s="18">
        <f>(('Filter Weights'!DD14)/$Q14)*$R14*1000</f>
        <v>1.3217318708162609E-4</v>
      </c>
      <c r="AG14" s="18">
        <f>(('Filter Weights'!DE14)/$Q14)*$R14*1000</f>
        <v>5.976759120156128E-3</v>
      </c>
      <c r="AH14" s="18">
        <f>(('Filter Weights'!DF14)/$Q14)*$R14*1000</f>
        <v>6.2437795964734293E-3</v>
      </c>
      <c r="AI14" s="18">
        <f>(('Filter Weights'!DG14)/$Q14)*$R14*1000</f>
        <v>1.8794339519758344E-2</v>
      </c>
      <c r="AJ14" s="18">
        <f>(('Filter Weights'!DH14)/$Q14)*$R14*1000</f>
        <v>4.2942849736332094E-3</v>
      </c>
      <c r="AK14" s="18">
        <f>(('Filter Weights'!DI14)/$Q14)*$R14*1000</f>
        <v>0</v>
      </c>
      <c r="AL14" s="18">
        <f>(('Filter Weights'!DJ14)/$Q14)*$R14*1000</f>
        <v>0</v>
      </c>
      <c r="AM14" s="18">
        <f>(('Filter Weights'!DK14)/$Q14)*$R14*1000</f>
        <v>6.673442465018884E-4</v>
      </c>
      <c r="AN14" s="18">
        <f>(('Filter Weights'!DL14)/$Q14)*$R14*1000</f>
        <v>1.4500441051141605E-4</v>
      </c>
      <c r="AO14" s="18">
        <f>(('Filter Weights'!DM14)/$Q14)*$R14*1000</f>
        <v>0</v>
      </c>
      <c r="AP14" s="18">
        <f>(('Filter Weights'!DN14)/$Q14)*$R14*1000</f>
        <v>0</v>
      </c>
      <c r="AQ14" s="18">
        <f>(('Filter Weights'!DO14)/$Q14)*$R14*1000</f>
        <v>1.0287979874664791E-5</v>
      </c>
      <c r="AR14" s="18">
        <f>(('Filter Weights'!DP14)/$Q14)*$R14*1000</f>
        <v>0</v>
      </c>
      <c r="AS14" s="18">
        <f>(('Filter Weights'!DQ14)/$Q14)*$R14*1000</f>
        <v>1.2592280470556437E-3</v>
      </c>
      <c r="AT14" s="18">
        <f>(('Filter Weights'!DR14)/$Q14)*$R14*1000</f>
        <v>0</v>
      </c>
      <c r="AU14" s="18">
        <f>(('Filter Weights'!DS14)/$Q14)*$R14*1000</f>
        <v>0</v>
      </c>
      <c r="AV14" s="18">
        <f>(('Filter Weights'!DT14)/$Q14)*$R14*1000</f>
        <v>0</v>
      </c>
      <c r="AW14" s="18">
        <f>(('Filter Weights'!DU14)/$Q14)*$R14*1000</f>
        <v>0</v>
      </c>
      <c r="AX14" s="18">
        <f>(('Filter Weights'!DV14)/$Q14)*$R14*1000</f>
        <v>1.8779826999404654E-5</v>
      </c>
      <c r="AY14" s="18">
        <f>(('Filter Weights'!DW14)/$Q14)*$R14*1000</f>
        <v>7.2828054609173345E-5</v>
      </c>
      <c r="AZ14" s="18">
        <f>(('Filter Weights'!DX14)/$Q14)*$R14*1000</f>
        <v>2.4097518069211764E-5</v>
      </c>
      <c r="BA14" s="18">
        <f>(('Filter Weights'!DY14)/$Q14)*$R14*1000</f>
        <v>0</v>
      </c>
      <c r="BB14" s="18">
        <f>(('Filter Weights'!DZ14)/$Q14)*$R14*1000</f>
        <v>0</v>
      </c>
      <c r="BC14" s="18">
        <f>(('Filter Weights'!EA14)/$Q14)*$R14*1000</f>
        <v>0</v>
      </c>
      <c r="BD14" s="18">
        <f>(('Filter Weights'!EB14)/$Q14)*$R14*1000</f>
        <v>2.0563215419060706E-4</v>
      </c>
      <c r="BE14" s="18">
        <f>(('Filter Weights'!EC14)/$Q14)*$R14*1000</f>
        <v>0</v>
      </c>
      <c r="BF14" s="18">
        <f>(('Filter Weights'!ED14)/$Q14)*$R14*1000</f>
        <v>8.490854516961901E-5</v>
      </c>
      <c r="BG14" s="18">
        <f>(('Filter Weights'!EE14)/$Q14)*$R14*1000</f>
        <v>0</v>
      </c>
      <c r="BH14" s="18">
        <f>(('Filter Weights'!EF14)/$Q14)*$R14*1000</f>
        <v>0</v>
      </c>
      <c r="BI14" s="18">
        <f>(('Filter Weights'!EG14)/$Q14)*$R14*1000</f>
        <v>0</v>
      </c>
      <c r="BJ14" s="18">
        <f>(('Filter Weights'!EH14)/$Q14)*$R14*1000</f>
        <v>0</v>
      </c>
      <c r="BK14" s="18">
        <f>(('Filter Weights'!EI14)/$Q14)*$R14*1000</f>
        <v>0</v>
      </c>
      <c r="BL14" s="18">
        <f>(('Filter Weights'!EJ14)/$Q14)*$R14*1000</f>
        <v>0</v>
      </c>
      <c r="BM14" s="18">
        <f>(('Filter Weights'!EK14)/$Q14)*$R14*1000</f>
        <v>0</v>
      </c>
    </row>
    <row r="15" spans="1:65">
      <c r="A15" s="20">
        <f>IF(ISBLANK('Phase CEMS PM Concentrations'!A15),"",'Phase CEMS PM Concentrations'!A15)</f>
        <v>44336</v>
      </c>
      <c r="B15" s="20" t="str">
        <f>IF(ISBLANK('Phase CEMS PM Concentrations'!B15),"",'Phase CEMS PM Concentrations'!B15)</f>
        <v>BK Princess</v>
      </c>
      <c r="C15" s="20" t="str">
        <f>IF(ISBLANK('Phase CEMS PM Concentrations'!C15),"",'Phase CEMS PM Concentrations'!C15)</f>
        <v>Wet birch</v>
      </c>
      <c r="D15" s="20" t="str">
        <f>IF(ISBLANK('Phase CEMS PM Concentrations'!D15),"",'Phase CEMS PM Concentrations'!D15)</f>
        <v>Startup</v>
      </c>
      <c r="E15" s="23">
        <v>44336.40347222222</v>
      </c>
      <c r="F15" s="23">
        <v>44336.425000000003</v>
      </c>
      <c r="G15" s="80">
        <v>0.6935995917358081</v>
      </c>
      <c r="H15" s="80">
        <v>0.95098452400608546</v>
      </c>
      <c r="I15" s="80">
        <v>0.72934897911269236</v>
      </c>
      <c r="J15" s="81">
        <v>51252.457670060663</v>
      </c>
      <c r="K15" s="81">
        <v>73893.436906149029</v>
      </c>
      <c r="L15" s="9">
        <f>44*('Phase CEMS VOC Concentration'!J15-Backgrounds!J15)/ (0.082*('Phase Parameters'!$R15+273.15))</f>
        <v>2688.7164635418549</v>
      </c>
      <c r="M15" s="9">
        <f>28*('Phase CEMS VOC Concentration'!K15-Backgrounds!L15)/ (0.082*('Phase Parameters'!$R15+273.15))</f>
        <v>82.162266851025535</v>
      </c>
      <c r="N15" s="9">
        <f>16.01*('Phase CEMS VOC Concentration'!L15-Backgrounds!M15)/ (0.082*('Phase Parameters'!$R15+273.15))</f>
        <v>43.876969637602478</v>
      </c>
      <c r="O15" s="9">
        <f>16.01*('Phase CEMS VOC Concentration'!M15-Backgrounds!N15)/ (0.082*('Phase Parameters'!$R15+273.15))</f>
        <v>5.4445519336317094</v>
      </c>
      <c r="P15" s="9">
        <f>31.61*('Phase CEMS VOC Concentration'!N15-Backgrounds!O15)/ (0.082*('Phase Parameters'!$R15+273.15))</f>
        <v>1.5752624665302419</v>
      </c>
      <c r="Q15" s="9">
        <f t="shared" si="0"/>
        <v>805.46674447352689</v>
      </c>
      <c r="R15" s="2">
        <f>$R$29/100</f>
        <v>0.52010000000000001</v>
      </c>
      <c r="S15" s="2">
        <f>(L15/'Emission Factors'!Q15)*R15*1000</f>
        <v>1736.1380122554267</v>
      </c>
      <c r="T15" s="2">
        <f t="shared" si="6"/>
        <v>53.053208319791615</v>
      </c>
      <c r="U15" s="2">
        <f t="shared" si="2"/>
        <v>28.331910740067908</v>
      </c>
      <c r="V15" s="2">
        <f t="shared" si="3"/>
        <v>3.5156156105895211</v>
      </c>
      <c r="W15" s="2">
        <f t="shared" si="4"/>
        <v>1.017166772512613</v>
      </c>
      <c r="X15" s="2">
        <f>(('Phase CEMS PM Concentrations'!X15-Backgrounds!S15)/$Q15)*$R15*1000</f>
        <v>0.97362465224133776</v>
      </c>
      <c r="Y15" s="2">
        <f>(('Filter Weights'!CY15)/$Q15)*$R15*1000</f>
        <v>3.8982537685829488</v>
      </c>
      <c r="Z15" s="2">
        <f>(('Filter Weights'!EL15)/$Q15)*$R15*1000</f>
        <v>5.141378051230264</v>
      </c>
      <c r="AA15" s="2">
        <f>(('Filter Weights'!EM15)/$Q15)*$R15*1000</f>
        <v>0.37184569308829896</v>
      </c>
      <c r="AB15" s="18">
        <f>(('Filter Weights'!CZ15)/$Q15)*$R15*1000</f>
        <v>9.0633547862896697E-3</v>
      </c>
      <c r="AC15" s="18">
        <f>(('Filter Weights'!DA15)/$Q15)*$R15*1000</f>
        <v>0</v>
      </c>
      <c r="AD15" s="18">
        <f>(('Filter Weights'!DB15)/$Q15)*$R15*1000</f>
        <v>0</v>
      </c>
      <c r="AE15" s="18">
        <f>(('Filter Weights'!DC15)/$Q15)*$R15*1000</f>
        <v>5.9967994562075922E-3</v>
      </c>
      <c r="AF15" s="18">
        <f>(('Filter Weights'!DD15)/$Q15)*$R15*1000</f>
        <v>4.124975542302729E-4</v>
      </c>
      <c r="AG15" s="18">
        <f>(('Filter Weights'!DE15)/$Q15)*$R15*1000</f>
        <v>9.872857425978189E-3</v>
      </c>
      <c r="AH15" s="18">
        <f>(('Filter Weights'!DF15)/$Q15)*$R15*1000</f>
        <v>1.3736902007611494E-2</v>
      </c>
      <c r="AI15" s="18">
        <f>(('Filter Weights'!DG15)/$Q15)*$R15*1000</f>
        <v>2.5150888672432491E-2</v>
      </c>
      <c r="AJ15" s="18">
        <f>(('Filter Weights'!DH15)/$Q15)*$R15*1000</f>
        <v>1.0074467039962984E-2</v>
      </c>
      <c r="AK15" s="18">
        <f>(('Filter Weights'!DI15)/$Q15)*$R15*1000</f>
        <v>1.8319267228995349E-4</v>
      </c>
      <c r="AL15" s="18">
        <f>(('Filter Weights'!DJ15)/$Q15)*$R15*1000</f>
        <v>0</v>
      </c>
      <c r="AM15" s="18">
        <f>(('Filter Weights'!DK15)/$Q15)*$R15*1000</f>
        <v>0</v>
      </c>
      <c r="AN15" s="18">
        <f>(('Filter Weights'!DL15)/$Q15)*$R15*1000</f>
        <v>4.8732708893739025E-5</v>
      </c>
      <c r="AO15" s="18">
        <f>(('Filter Weights'!DM15)/$Q15)*$R15*1000</f>
        <v>8.0377422599213976E-4</v>
      </c>
      <c r="AP15" s="18">
        <f>(('Filter Weights'!DN15)/$Q15)*$R15*1000</f>
        <v>4.4455031933525689E-5</v>
      </c>
      <c r="AQ15" s="18">
        <f>(('Filter Weights'!DO15)/$Q15)*$R15*1000</f>
        <v>0</v>
      </c>
      <c r="AR15" s="18">
        <f>(('Filter Weights'!DP15)/$Q15)*$R15*1000</f>
        <v>0</v>
      </c>
      <c r="AS15" s="18">
        <f>(('Filter Weights'!DQ15)/$Q15)*$R15*1000</f>
        <v>3.9775158978401295E-3</v>
      </c>
      <c r="AT15" s="18">
        <f>(('Filter Weights'!DR15)/$Q15)*$R15*1000</f>
        <v>0</v>
      </c>
      <c r="AU15" s="18">
        <f>(('Filter Weights'!DS15)/$Q15)*$R15*1000</f>
        <v>0</v>
      </c>
      <c r="AV15" s="18">
        <f>(('Filter Weights'!DT15)/$Q15)*$R15*1000</f>
        <v>0</v>
      </c>
      <c r="AW15" s="18">
        <f>(('Filter Weights'!DU15)/$Q15)*$R15*1000</f>
        <v>0</v>
      </c>
      <c r="AX15" s="18">
        <f>(('Filter Weights'!DV15)/$Q15)*$R15*1000</f>
        <v>0</v>
      </c>
      <c r="AY15" s="18">
        <f>(('Filter Weights'!DW15)/$Q15)*$R15*1000</f>
        <v>0</v>
      </c>
      <c r="AZ15" s="18">
        <f>(('Filter Weights'!DX15)/$Q15)*$R15*1000</f>
        <v>0</v>
      </c>
      <c r="BA15" s="18">
        <f>(('Filter Weights'!DY15)/$Q15)*$R15*1000</f>
        <v>0</v>
      </c>
      <c r="BB15" s="18">
        <f>(('Filter Weights'!DZ15)/$Q15)*$R15*1000</f>
        <v>2.1111863940252048E-4</v>
      </c>
      <c r="BC15" s="18">
        <f>(('Filter Weights'!EA15)/$Q15)*$R15*1000</f>
        <v>0</v>
      </c>
      <c r="BD15" s="18">
        <f>(('Filter Weights'!EB15)/$Q15)*$R15*1000</f>
        <v>2.3388633580867459E-4</v>
      </c>
      <c r="BE15" s="18">
        <f>(('Filter Weights'!EC15)/$Q15)*$R15*1000</f>
        <v>0</v>
      </c>
      <c r="BF15" s="18">
        <f>(('Filter Weights'!ED15)/$Q15)*$R15*1000</f>
        <v>5.730726864131597E-4</v>
      </c>
      <c r="BG15" s="18">
        <f>(('Filter Weights'!EE15)/$Q15)*$R15*1000</f>
        <v>0</v>
      </c>
      <c r="BH15" s="18">
        <f>(('Filter Weights'!EF15)/$Q15)*$R15*1000</f>
        <v>2.6203548772901061E-3</v>
      </c>
      <c r="BI15" s="18">
        <f>(('Filter Weights'!EG15)/$Q15)*$R15*1000</f>
        <v>0</v>
      </c>
      <c r="BJ15" s="18">
        <f>(('Filter Weights'!EH15)/$Q15)*$R15*1000</f>
        <v>0</v>
      </c>
      <c r="BK15" s="18">
        <f>(('Filter Weights'!EI15)/$Q15)*$R15*1000</f>
        <v>0</v>
      </c>
      <c r="BL15" s="18">
        <f>(('Filter Weights'!EJ15)/$Q15)*$R15*1000</f>
        <v>1.4074575960168028E-4</v>
      </c>
      <c r="BM15" s="18">
        <f>(('Filter Weights'!EK15)/$Q15)*$R15*1000</f>
        <v>6.124172117325808E-5</v>
      </c>
    </row>
    <row r="16" spans="1:65">
      <c r="A16" s="20">
        <f>IF(ISBLANK('Phase CEMS PM Concentrations'!A16),"",'Phase CEMS PM Concentrations'!A16)</f>
        <v>44336</v>
      </c>
      <c r="B16" s="20" t="str">
        <f>IF(ISBLANK('Phase CEMS PM Concentrations'!B16),"",'Phase CEMS PM Concentrations'!B16)</f>
        <v>BK Princess</v>
      </c>
      <c r="C16" s="20" t="str">
        <f>IF(ISBLANK('Phase CEMS PM Concentrations'!C16),"",'Phase CEMS PM Concentrations'!C16)</f>
        <v>Wet birch</v>
      </c>
      <c r="D16" s="20" t="str">
        <f>IF(ISBLANK('Phase CEMS PM Concentrations'!D16),"",'Phase CEMS PM Concentrations'!D16)</f>
        <v>High</v>
      </c>
      <c r="E16" s="23">
        <v>44336.426388888889</v>
      </c>
      <c r="F16" s="23">
        <v>44336.568055555559</v>
      </c>
      <c r="G16" s="80">
        <v>0.78966671120587661</v>
      </c>
      <c r="H16" s="80">
        <v>0.98742119378838877</v>
      </c>
      <c r="I16" s="80">
        <v>0.79972631352604695</v>
      </c>
      <c r="J16" s="81">
        <v>46675.17719673214</v>
      </c>
      <c r="K16" s="81">
        <v>59107.439296074488</v>
      </c>
      <c r="L16" s="9">
        <f>44*('Phase CEMS VOC Concentration'!J16-Backgrounds!J16)/ (0.082*('Phase Parameters'!$R16+273.15))</f>
        <v>2023.9919320048323</v>
      </c>
      <c r="M16" s="9">
        <f>28*('Phase CEMS VOC Concentration'!K16-Backgrounds!L16)/ (0.082*('Phase Parameters'!$R16+273.15))</f>
        <v>23.777672096041606</v>
      </c>
      <c r="N16" s="9">
        <f>16.01*('Phase CEMS VOC Concentration'!L16-Backgrounds!M16)/ (0.082*('Phase Parameters'!$R16+273.15))</f>
        <v>15.669925473028329</v>
      </c>
      <c r="O16" s="9">
        <f>16.01*('Phase CEMS VOC Concentration'!M16-Backgrounds!N16)/ (0.082*('Phase Parameters'!$R16+273.15))</f>
        <v>7.2067645648060443</v>
      </c>
      <c r="P16" s="9">
        <f>31.61*('Phase CEMS VOC Concentration'!N16-Backgrounds!O16)/ (0.082*('Phase Parameters'!$R16+273.15))</f>
        <v>1.433199440236663</v>
      </c>
      <c r="Q16" s="9">
        <f t="shared" si="0"/>
        <v>579.33503131387465</v>
      </c>
      <c r="R16" s="2">
        <f t="shared" ref="R16:R24" si="7">$R$29/100</f>
        <v>0.52010000000000001</v>
      </c>
      <c r="S16" s="2">
        <f>(L16/'Emission Factors'!Q16)*R16*1000</f>
        <v>1817.0456591384486</v>
      </c>
      <c r="T16" s="2">
        <f t="shared" si="6"/>
        <v>21.346486210413744</v>
      </c>
      <c r="U16" s="2">
        <f t="shared" si="2"/>
        <v>14.067729030710954</v>
      </c>
      <c r="V16" s="2">
        <f t="shared" si="3"/>
        <v>6.469897464434335</v>
      </c>
      <c r="W16" s="2">
        <f t="shared" si="4"/>
        <v>1.286659684943579</v>
      </c>
      <c r="X16" s="2">
        <f>(('Phase CEMS PM Concentrations'!X16-Backgrounds!S16)/$Q16)*$R16*1000</f>
        <v>0.27789669531096467</v>
      </c>
      <c r="Y16" s="2">
        <f>(('Filter Weights'!CY16)/$Q16)*$R16*1000</f>
        <v>2.4225697724839108</v>
      </c>
      <c r="Z16" s="2">
        <f>(('Filter Weights'!EL16)/$Q16)*$R16*1000</f>
        <v>0.54480636837433927</v>
      </c>
      <c r="AA16" s="2">
        <f>(('Filter Weights'!EM16)/$Q16)*$R16*1000</f>
        <v>0.10880811228420492</v>
      </c>
      <c r="AB16" s="18">
        <f>(('Filter Weights'!CZ16)/$Q16)*$R16*1000</f>
        <v>7.6353297002543794E-4</v>
      </c>
      <c r="AC16" s="18">
        <f>(('Filter Weights'!DA16)/$Q16)*$R16*1000</f>
        <v>0</v>
      </c>
      <c r="AD16" s="18">
        <f>(('Filter Weights'!DB16)/$Q16)*$R16*1000</f>
        <v>0</v>
      </c>
      <c r="AE16" s="18">
        <f>(('Filter Weights'!DC16)/$Q16)*$R16*1000</f>
        <v>1.9669227830918298E-4</v>
      </c>
      <c r="AF16" s="18">
        <f>(('Filter Weights'!DD16)/$Q16)*$R16*1000</f>
        <v>0</v>
      </c>
      <c r="AG16" s="18">
        <f>(('Filter Weights'!DE16)/$Q16)*$R16*1000</f>
        <v>6.9693133817651234E-3</v>
      </c>
      <c r="AH16" s="18">
        <f>(('Filter Weights'!DF16)/$Q16)*$R16*1000</f>
        <v>7.161207173696082E-3</v>
      </c>
      <c r="AI16" s="18">
        <f>(('Filter Weights'!DG16)/$Q16)*$R16*1000</f>
        <v>1.5537666200850356E-2</v>
      </c>
      <c r="AJ16" s="18">
        <f>(('Filter Weights'!DH16)/$Q16)*$R16*1000</f>
        <v>8.0397330098563868E-4</v>
      </c>
      <c r="AK16" s="18">
        <f>(('Filter Weights'!DI16)/$Q16)*$R16*1000</f>
        <v>0</v>
      </c>
      <c r="AL16" s="18">
        <f>(('Filter Weights'!DJ16)/$Q16)*$R16*1000</f>
        <v>0</v>
      </c>
      <c r="AM16" s="18">
        <f>(('Filter Weights'!DK16)/$Q16)*$R16*1000</f>
        <v>5.3691014747835942E-4</v>
      </c>
      <c r="AN16" s="18">
        <f>(('Filter Weights'!DL16)/$Q16)*$R16*1000</f>
        <v>1.4678031640493908E-5</v>
      </c>
      <c r="AO16" s="18">
        <f>(('Filter Weights'!DM16)/$Q16)*$R16*1000</f>
        <v>3.1587570212277872E-4</v>
      </c>
      <c r="AP16" s="18">
        <f>(('Filter Weights'!DN16)/$Q16)*$R16*1000</f>
        <v>0</v>
      </c>
      <c r="AQ16" s="18">
        <f>(('Filter Weights'!DO16)/$Q16)*$R16*1000</f>
        <v>0</v>
      </c>
      <c r="AR16" s="18">
        <f>(('Filter Weights'!DP16)/$Q16)*$R16*1000</f>
        <v>1.4921668538755227E-5</v>
      </c>
      <c r="AS16" s="18">
        <f>(('Filter Weights'!DQ16)/$Q16)*$R16*1000</f>
        <v>3.4963999933480942E-3</v>
      </c>
      <c r="AT16" s="18">
        <f>(('Filter Weights'!DR16)/$Q16)*$R16*1000</f>
        <v>0</v>
      </c>
      <c r="AU16" s="18">
        <f>(('Filter Weights'!DS16)/$Q16)*$R16*1000</f>
        <v>0</v>
      </c>
      <c r="AV16" s="18">
        <f>(('Filter Weights'!DT16)/$Q16)*$R16*1000</f>
        <v>0</v>
      </c>
      <c r="AW16" s="18">
        <f>(('Filter Weights'!DU16)/$Q16)*$R16*1000</f>
        <v>1.0094069893863831E-5</v>
      </c>
      <c r="AX16" s="18">
        <f>(('Filter Weights'!DV16)/$Q16)*$R16*1000</f>
        <v>5.7143205176438893E-6</v>
      </c>
      <c r="AY16" s="18">
        <f>(('Filter Weights'!DW16)/$Q16)*$R16*1000</f>
        <v>6.4514272799912298E-5</v>
      </c>
      <c r="AZ16" s="18">
        <f>(('Filter Weights'!DX16)/$Q16)*$R16*1000</f>
        <v>0</v>
      </c>
      <c r="BA16" s="18">
        <f>(('Filter Weights'!DY16)/$Q16)*$R16*1000</f>
        <v>2.2263468069590005E-6</v>
      </c>
      <c r="BB16" s="18">
        <f>(('Filter Weights'!DZ16)/$Q16)*$R16*1000</f>
        <v>0</v>
      </c>
      <c r="BC16" s="18">
        <f>(('Filter Weights'!EA16)/$Q16)*$R16*1000</f>
        <v>0</v>
      </c>
      <c r="BD16" s="18">
        <f>(('Filter Weights'!EB16)/$Q16)*$R16*1000</f>
        <v>0</v>
      </c>
      <c r="BE16" s="18">
        <f>(('Filter Weights'!EC16)/$Q16)*$R16*1000</f>
        <v>0</v>
      </c>
      <c r="BF16" s="18">
        <f>(('Filter Weights'!ED16)/$Q16)*$R16*1000</f>
        <v>9.9357900343247308E-5</v>
      </c>
      <c r="BG16" s="18">
        <f>(('Filter Weights'!EE16)/$Q16)*$R16*1000</f>
        <v>0</v>
      </c>
      <c r="BH16" s="18">
        <f>(('Filter Weights'!EF16)/$Q16)*$R16*1000</f>
        <v>2.0846448693849208E-4</v>
      </c>
      <c r="BI16" s="18">
        <f>(('Filter Weights'!EG16)/$Q16)*$R16*1000</f>
        <v>9.9185208522314128E-5</v>
      </c>
      <c r="BJ16" s="18">
        <f>(('Filter Weights'!EH16)/$Q16)*$R16*1000</f>
        <v>0</v>
      </c>
      <c r="BK16" s="18">
        <f>(('Filter Weights'!EI16)/$Q16)*$R16*1000</f>
        <v>0</v>
      </c>
      <c r="BL16" s="18">
        <f>(('Filter Weights'!EJ16)/$Q16)*$R16*1000</f>
        <v>0</v>
      </c>
      <c r="BM16" s="18">
        <f>(('Filter Weights'!EK16)/$Q16)*$R16*1000</f>
        <v>3.6897282529360837E-5</v>
      </c>
    </row>
    <row r="17" spans="1:65">
      <c r="A17" s="20">
        <f>IF(ISBLANK('Phase CEMS PM Concentrations'!A17),"",'Phase CEMS PM Concentrations'!A17)</f>
        <v>44341</v>
      </c>
      <c r="B17" s="20" t="str">
        <f>IF(ISBLANK('Phase CEMS PM Concentrations'!B17),"",'Phase CEMS PM Concentrations'!B17)</f>
        <v>BK Princess</v>
      </c>
      <c r="C17" s="20" t="str">
        <f>IF(ISBLANK('Phase CEMS PM Concentrations'!C17),"",'Phase CEMS PM Concentrations'!C17)</f>
        <v>Wet birch</v>
      </c>
      <c r="D17" s="20" t="str">
        <f>IF(ISBLANK('Phase CEMS PM Concentrations'!D17),"",'Phase CEMS PM Concentrations'!D17)</f>
        <v>Startup</v>
      </c>
      <c r="E17" s="23">
        <v>44341.361805555556</v>
      </c>
      <c r="F17" s="23">
        <v>44341.381944444445</v>
      </c>
      <c r="G17" s="80">
        <v>0.67821418002919687</v>
      </c>
      <c r="H17" s="80">
        <v>0.90548085886466112</v>
      </c>
      <c r="I17" s="80">
        <v>0.74900995795712011</v>
      </c>
      <c r="J17" s="81">
        <v>94336.923296602326</v>
      </c>
      <c r="K17" s="81">
        <v>139096.06445052676</v>
      </c>
      <c r="L17" s="9">
        <f>44*('Phase CEMS VOC Concentration'!J17-Backgrounds!J17)/ (0.082*('Phase Parameters'!$R17+273.15))</f>
        <v>3410.5759550101161</v>
      </c>
      <c r="M17" s="9">
        <f>28*('Phase CEMS VOC Concentration'!K17-Backgrounds!L17)/ (0.082*('Phase Parameters'!$R17+273.15))</f>
        <v>220.04202772252555</v>
      </c>
      <c r="N17" s="9">
        <f>16.01*('Phase CEMS VOC Concentration'!L17-Backgrounds!M17)/ (0.082*('Phase Parameters'!$R17+273.15))</f>
        <v>90.790158170609374</v>
      </c>
      <c r="O17" s="9">
        <f>16.01*('Phase CEMS VOC Concentration'!M17-Backgrounds!N17)/ (0.082*('Phase Parameters'!$R17+273.15))</f>
        <v>16.032628762236904</v>
      </c>
      <c r="P17" s="9">
        <f>31.61*('Phase CEMS VOC Concentration'!N17-Backgrounds!O17)/ (0.082*('Phase Parameters'!$R17+273.15))</f>
        <v>1.836509914649159</v>
      </c>
      <c r="Q17" s="9">
        <f t="shared" si="0"/>
        <v>1104.5278531003698</v>
      </c>
      <c r="R17" s="2">
        <f t="shared" si="7"/>
        <v>0.52010000000000001</v>
      </c>
      <c r="S17" s="2">
        <f>(L17/'Emission Factors'!Q17)*R17*1000</f>
        <v>1605.9717726643605</v>
      </c>
      <c r="T17" s="2">
        <f t="shared" si="6"/>
        <v>103.61337497940478</v>
      </c>
      <c r="U17" s="2">
        <f t="shared" si="2"/>
        <v>42.751263476053786</v>
      </c>
      <c r="V17" s="2">
        <f t="shared" si="3"/>
        <v>7.5494431361177066</v>
      </c>
      <c r="W17" s="2">
        <f t="shared" si="4"/>
        <v>0.86477566312873266</v>
      </c>
      <c r="X17" s="2">
        <f>(('Phase CEMS PM Concentrations'!X17-Backgrounds!S17)/$Q17)*$R17*1000</f>
        <v>0.96596478700392385</v>
      </c>
      <c r="Y17" s="2">
        <f>(('Filter Weights'!CY17)/$Q17)*$R17*1000</f>
        <v>12.41002909885691</v>
      </c>
      <c r="Z17" s="2">
        <f>(('Filter Weights'!EL17)/$Q17)*$R17*1000</f>
        <v>6.7246848984631988</v>
      </c>
      <c r="AA17" s="2">
        <f>(('Filter Weights'!EM17)/$Q17)*$R17*1000</f>
        <v>0.62221230628898228</v>
      </c>
      <c r="AB17" s="18">
        <f>(('Filter Weights'!CZ17)/$Q17)*$R17*1000</f>
        <v>0</v>
      </c>
      <c r="AC17" s="18">
        <f>(('Filter Weights'!DA17)/$Q17)*$R17*1000</f>
        <v>0</v>
      </c>
      <c r="AD17" s="18">
        <f>(('Filter Weights'!DB17)/$Q17)*$R17*1000</f>
        <v>0</v>
      </c>
      <c r="AE17" s="18">
        <f>(('Filter Weights'!DC17)/$Q17)*$R17*1000</f>
        <v>1.532064706744732E-3</v>
      </c>
      <c r="AF17" s="18">
        <f>(('Filter Weights'!DD17)/$Q17)*$R17*1000</f>
        <v>0</v>
      </c>
      <c r="AG17" s="18">
        <f>(('Filter Weights'!DE17)/$Q17)*$R17*1000</f>
        <v>1.3394671588940319E-2</v>
      </c>
      <c r="AH17" s="18">
        <f>(('Filter Weights'!DF17)/$Q17)*$R17*1000</f>
        <v>2.2927425527561263E-2</v>
      </c>
      <c r="AI17" s="18">
        <f>(('Filter Weights'!DG17)/$Q17)*$R17*1000</f>
        <v>1.7269880211190514E-2</v>
      </c>
      <c r="AJ17" s="18">
        <f>(('Filter Weights'!DH17)/$Q17)*$R17*1000</f>
        <v>2.0136835547493732E-3</v>
      </c>
      <c r="AK17" s="18">
        <f>(('Filter Weights'!DI17)/$Q17)*$R17*1000</f>
        <v>9.1450541628683541E-5</v>
      </c>
      <c r="AL17" s="18">
        <f>(('Filter Weights'!DJ17)/$Q17)*$R17*1000</f>
        <v>0</v>
      </c>
      <c r="AM17" s="18">
        <f>(('Filter Weights'!DK17)/$Q17)*$R17*1000</f>
        <v>0</v>
      </c>
      <c r="AN17" s="18">
        <f>(('Filter Weights'!DL17)/$Q17)*$R17*1000</f>
        <v>2.4859482625337517E-4</v>
      </c>
      <c r="AO17" s="18">
        <f>(('Filter Weights'!DM17)/$Q17)*$R17*1000</f>
        <v>6.8239782029985143E-4</v>
      </c>
      <c r="AP17" s="18">
        <f>(('Filter Weights'!DN17)/$Q17)*$R17*1000</f>
        <v>0</v>
      </c>
      <c r="AQ17" s="18">
        <f>(('Filter Weights'!DO17)/$Q17)*$R17*1000</f>
        <v>0</v>
      </c>
      <c r="AR17" s="18">
        <f>(('Filter Weights'!DP17)/$Q17)*$R17*1000</f>
        <v>5.6890977978771817E-5</v>
      </c>
      <c r="AS17" s="18">
        <f>(('Filter Weights'!DQ17)/$Q17)*$R17*1000</f>
        <v>4.3720447030727565E-3</v>
      </c>
      <c r="AT17" s="18">
        <f>(('Filter Weights'!DR17)/$Q17)*$R17*1000</f>
        <v>0</v>
      </c>
      <c r="AU17" s="18">
        <f>(('Filter Weights'!DS17)/$Q17)*$R17*1000</f>
        <v>0</v>
      </c>
      <c r="AV17" s="18">
        <f>(('Filter Weights'!DT17)/$Q17)*$R17*1000</f>
        <v>1.2812676053119626E-5</v>
      </c>
      <c r="AW17" s="18">
        <f>(('Filter Weights'!DU17)/$Q17)*$R17*1000</f>
        <v>0</v>
      </c>
      <c r="AX17" s="18">
        <f>(('Filter Weights'!DV17)/$Q17)*$R17*1000</f>
        <v>0</v>
      </c>
      <c r="AY17" s="18">
        <f>(('Filter Weights'!DW17)/$Q17)*$R17*1000</f>
        <v>0</v>
      </c>
      <c r="AZ17" s="18">
        <f>(('Filter Weights'!DX17)/$Q17)*$R17*1000</f>
        <v>0</v>
      </c>
      <c r="BA17" s="18">
        <f>(('Filter Weights'!DY17)/$Q17)*$R17*1000</f>
        <v>0</v>
      </c>
      <c r="BB17" s="18">
        <f>(('Filter Weights'!DZ17)/$Q17)*$R17*1000</f>
        <v>0</v>
      </c>
      <c r="BC17" s="18">
        <f>(('Filter Weights'!EA17)/$Q17)*$R17*1000</f>
        <v>0</v>
      </c>
      <c r="BD17" s="18">
        <f>(('Filter Weights'!EB17)/$Q17)*$R17*1000</f>
        <v>3.0286079453404995E-4</v>
      </c>
      <c r="BE17" s="18">
        <f>(('Filter Weights'!EC17)/$Q17)*$R17*1000</f>
        <v>0</v>
      </c>
      <c r="BF17" s="18">
        <f>(('Filter Weights'!ED17)/$Q17)*$R17*1000</f>
        <v>0</v>
      </c>
      <c r="BG17" s="18">
        <f>(('Filter Weights'!EE17)/$Q17)*$R17*1000</f>
        <v>0</v>
      </c>
      <c r="BH17" s="18">
        <f>(('Filter Weights'!EF17)/$Q17)*$R17*1000</f>
        <v>0</v>
      </c>
      <c r="BI17" s="18">
        <f>(('Filter Weights'!EG17)/$Q17)*$R17*1000</f>
        <v>1.1344730314590378E-3</v>
      </c>
      <c r="BJ17" s="18">
        <f>(('Filter Weights'!EH17)/$Q17)*$R17*1000</f>
        <v>0</v>
      </c>
      <c r="BK17" s="18">
        <f>(('Filter Weights'!EI17)/$Q17)*$R17*1000</f>
        <v>0</v>
      </c>
      <c r="BL17" s="18">
        <f>(('Filter Weights'!EJ17)/$Q17)*$R17*1000</f>
        <v>9.3702787259153584E-5</v>
      </c>
      <c r="BM17" s="18">
        <f>(('Filter Weights'!EK17)/$Q17)*$R17*1000</f>
        <v>0</v>
      </c>
    </row>
    <row r="18" spans="1:65">
      <c r="A18" s="20">
        <f>IF(ISBLANK('Phase CEMS PM Concentrations'!A18),"",'Phase CEMS PM Concentrations'!A18)</f>
        <v>44341</v>
      </c>
      <c r="B18" s="20" t="str">
        <f>IF(ISBLANK('Phase CEMS PM Concentrations'!B18),"",'Phase CEMS PM Concentrations'!B18)</f>
        <v>BK Princess</v>
      </c>
      <c r="C18" s="20" t="str">
        <f>IF(ISBLANK('Phase CEMS PM Concentrations'!C18),"",'Phase CEMS PM Concentrations'!C18)</f>
        <v>Wet birch</v>
      </c>
      <c r="D18" s="20" t="str">
        <f>IF(ISBLANK('Phase CEMS PM Concentrations'!D18),"",'Phase CEMS PM Concentrations'!D18)</f>
        <v>Low</v>
      </c>
      <c r="E18" s="23">
        <v>44341.383333333331</v>
      </c>
      <c r="F18" s="23">
        <v>44341.73541666667</v>
      </c>
      <c r="G18" s="80">
        <v>0.80834333204293984</v>
      </c>
      <c r="H18" s="80">
        <v>0.99209161558662173</v>
      </c>
      <c r="I18" s="80">
        <v>0.81478698070134192</v>
      </c>
      <c r="J18" s="81">
        <v>23243.052358038643</v>
      </c>
      <c r="K18" s="81">
        <v>28753.935904062055</v>
      </c>
      <c r="L18" s="9">
        <f>44*('Phase CEMS VOC Concentration'!J18-Backgrounds!J18)/ (0.082*('Phase Parameters'!$R18+273.15))</f>
        <v>1122.2231689342939</v>
      </c>
      <c r="M18" s="9">
        <f>28*('Phase CEMS VOC Concentration'!K18-Backgrounds!L18)/ (0.082*('Phase Parameters'!$R18+273.15))</f>
        <v>5.9957231164615425</v>
      </c>
      <c r="N18" s="9">
        <f>16.01*('Phase CEMS VOC Concentration'!L18-Backgrounds!M18)/ (0.082*('Phase Parameters'!$R18+273.15))</f>
        <v>12.134725463751872</v>
      </c>
      <c r="O18" s="9">
        <f>16.01*('Phase CEMS VOC Concentration'!M18-Backgrounds!N18)/ (0.082*('Phase Parameters'!$R18+273.15))</f>
        <v>7.5287494729310414</v>
      </c>
      <c r="P18" s="9">
        <f>31.61*('Phase CEMS VOC Concentration'!N18-Backgrounds!O18)/ (0.082*('Phase Parameters'!$R18+273.15))</f>
        <v>1.1815957864144162</v>
      </c>
      <c r="Q18" s="9">
        <f t="shared" si="0"/>
        <v>323.36885458196912</v>
      </c>
      <c r="R18" s="2">
        <f t="shared" si="7"/>
        <v>0.52010000000000001</v>
      </c>
      <c r="S18" s="2">
        <f>(L18/'Emission Factors'!Q18)*R18*1000</f>
        <v>1804.9613062372869</v>
      </c>
      <c r="T18" s="2">
        <f t="shared" si="6"/>
        <v>9.6434011769713806</v>
      </c>
      <c r="U18" s="2">
        <f t="shared" si="2"/>
        <v>19.517249803961985</v>
      </c>
      <c r="V18" s="2">
        <f t="shared" si="3"/>
        <v>12.109090116094848</v>
      </c>
      <c r="W18" s="2">
        <f t="shared" si="4"/>
        <v>1.9004550370461213</v>
      </c>
      <c r="X18" s="2">
        <f>(('Phase CEMS PM Concentrations'!X18-Backgrounds!S18)/$Q18)*$R18*1000</f>
        <v>5.4818576553749616E-2</v>
      </c>
      <c r="Y18" s="2">
        <f>(('Filter Weights'!CY18)/$Q18)*$R18*1000</f>
        <v>0.51168878775779858</v>
      </c>
      <c r="Z18" s="2">
        <f>(('Filter Weights'!EL18)/$Q18)*$R18*1000</f>
        <v>0.2020838245470083</v>
      </c>
      <c r="AA18" s="2">
        <f>(('Filter Weights'!EM18)/$Q18)*$R18*1000</f>
        <v>4.9290942519824701E-2</v>
      </c>
      <c r="AB18" s="18">
        <f>(('Filter Weights'!CZ18)/$Q18)*$R18*1000</f>
        <v>0</v>
      </c>
      <c r="AC18" s="18">
        <f>(('Filter Weights'!DA18)/$Q18)*$R18*1000</f>
        <v>0</v>
      </c>
      <c r="AD18" s="18">
        <f>(('Filter Weights'!DB18)/$Q18)*$R18*1000</f>
        <v>0</v>
      </c>
      <c r="AE18" s="18">
        <f>(('Filter Weights'!DC18)/$Q18)*$R18*1000</f>
        <v>1.9771793583504937E-3</v>
      </c>
      <c r="AF18" s="18">
        <f>(('Filter Weights'!DD18)/$Q18)*$R18*1000</f>
        <v>0</v>
      </c>
      <c r="AG18" s="18">
        <f>(('Filter Weights'!DE18)/$Q18)*$R18*1000</f>
        <v>4.3185650268331814E-3</v>
      </c>
      <c r="AH18" s="18">
        <f>(('Filter Weights'!DF18)/$Q18)*$R18*1000</f>
        <v>2.0009086435847628E-3</v>
      </c>
      <c r="AI18" s="18">
        <f>(('Filter Weights'!DG18)/$Q18)*$R18*1000</f>
        <v>8.6993664911764849E-3</v>
      </c>
      <c r="AJ18" s="18">
        <f>(('Filter Weights'!DH18)/$Q18)*$R18*1000</f>
        <v>0</v>
      </c>
      <c r="AK18" s="18">
        <f>(('Filter Weights'!DI18)/$Q18)*$R18*1000</f>
        <v>0</v>
      </c>
      <c r="AL18" s="18">
        <f>(('Filter Weights'!DJ18)/$Q18)*$R18*1000</f>
        <v>0</v>
      </c>
      <c r="AM18" s="18">
        <f>(('Filter Weights'!DK18)/$Q18)*$R18*1000</f>
        <v>2.446089088383596E-4</v>
      </c>
      <c r="AN18" s="18">
        <f>(('Filter Weights'!DL18)/$Q18)*$R18*1000</f>
        <v>0</v>
      </c>
      <c r="AO18" s="18">
        <f>(('Filter Weights'!DM18)/$Q18)*$R18*1000</f>
        <v>0</v>
      </c>
      <c r="AP18" s="18">
        <f>(('Filter Weights'!DN18)/$Q18)*$R18*1000</f>
        <v>0</v>
      </c>
      <c r="AQ18" s="18">
        <f>(('Filter Weights'!DO18)/$Q18)*$R18*1000</f>
        <v>0</v>
      </c>
      <c r="AR18" s="18">
        <f>(('Filter Weights'!DP18)/$Q18)*$R18*1000</f>
        <v>7.5715116355217742E-6</v>
      </c>
      <c r="AS18" s="18">
        <f>(('Filter Weights'!DQ18)/$Q18)*$R18*1000</f>
        <v>6.1419885083468357E-4</v>
      </c>
      <c r="AT18" s="18">
        <f>(('Filter Weights'!DR18)/$Q18)*$R18*1000</f>
        <v>0</v>
      </c>
      <c r="AU18" s="18">
        <f>(('Filter Weights'!DS18)/$Q18)*$R18*1000</f>
        <v>0</v>
      </c>
      <c r="AV18" s="18">
        <f>(('Filter Weights'!DT18)/$Q18)*$R18*1000</f>
        <v>0</v>
      </c>
      <c r="AW18" s="18">
        <f>(('Filter Weights'!DU18)/$Q18)*$R18*1000</f>
        <v>2.2385338748499158E-5</v>
      </c>
      <c r="AX18" s="18">
        <f>(('Filter Weights'!DV18)/$Q18)*$R18*1000</f>
        <v>0</v>
      </c>
      <c r="AY18" s="18">
        <f>(('Filter Weights'!DW18)/$Q18)*$R18*1000</f>
        <v>7.5715116355217742E-6</v>
      </c>
      <c r="AZ18" s="18">
        <f>(('Filter Weights'!DX18)/$Q18)*$R18*1000</f>
        <v>0</v>
      </c>
      <c r="BA18" s="18">
        <f>(('Filter Weights'!DY18)/$Q18)*$R18*1000</f>
        <v>6.8832108177058217E-6</v>
      </c>
      <c r="BB18" s="18">
        <f>(('Filter Weights'!DZ18)/$Q18)*$R18*1000</f>
        <v>3.6211577387278054E-6</v>
      </c>
      <c r="BC18" s="18">
        <f>(('Filter Weights'!EA18)/$Q18)*$R18*1000</f>
        <v>1.843498485170519E-5</v>
      </c>
      <c r="BD18" s="18">
        <f>(('Filter Weights'!EB18)/$Q18)*$R18*1000</f>
        <v>0</v>
      </c>
      <c r="BE18" s="18">
        <f>(('Filter Weights'!EC18)/$Q18)*$R18*1000</f>
        <v>8.5591001097202652E-5</v>
      </c>
      <c r="BF18" s="18">
        <f>(('Filter Weights'!ED18)/$Q18)*$R18*1000</f>
        <v>1.439663199356218E-5</v>
      </c>
      <c r="BG18" s="18">
        <f>(('Filter Weights'!EE18)/$Q18)*$R18*1000</f>
        <v>0</v>
      </c>
      <c r="BH18" s="18">
        <f>(('Filter Weights'!EF18)/$Q18)*$R18*1000</f>
        <v>0</v>
      </c>
      <c r="BI18" s="18">
        <f>(('Filter Weights'!EG18)/$Q18)*$R18*1000</f>
        <v>0</v>
      </c>
      <c r="BJ18" s="18">
        <f>(('Filter Weights'!EH18)/$Q18)*$R18*1000</f>
        <v>0</v>
      </c>
      <c r="BK18" s="18">
        <f>(('Filter Weights'!EI18)/$Q18)*$R18*1000</f>
        <v>3.3835149491875066E-6</v>
      </c>
      <c r="BL18" s="18">
        <f>(('Filter Weights'!EJ18)/$Q18)*$R18*1000</f>
        <v>7.5715116355217742E-6</v>
      </c>
      <c r="BM18" s="18">
        <f>(('Filter Weights'!EK18)/$Q18)*$R18*1000</f>
        <v>0</v>
      </c>
    </row>
    <row r="19" spans="1:65">
      <c r="A19" s="20">
        <f>IF(ISBLANK('Phase CEMS PM Concentrations'!A19),"",'Phase CEMS PM Concentrations'!A19)</f>
        <v>44342</v>
      </c>
      <c r="B19" s="20" t="str">
        <f>IF(ISBLANK('Phase CEMS PM Concentrations'!B19),"",'Phase CEMS PM Concentrations'!B19)</f>
        <v>BK Princess</v>
      </c>
      <c r="C19" s="20" t="str">
        <f>IF(ISBLANK('Phase CEMS PM Concentrations'!C19),"",'Phase CEMS PM Concentrations'!C19)</f>
        <v>Wet birch</v>
      </c>
      <c r="D19" s="20" t="str">
        <f>IF(ISBLANK('Phase CEMS PM Concentrations'!D19),"",'Phase CEMS PM Concentrations'!D19)</f>
        <v>Startup</v>
      </c>
      <c r="E19" s="23">
        <v>44342.388888888891</v>
      </c>
      <c r="F19" s="23">
        <v>44342.416666666664</v>
      </c>
      <c r="G19" s="80">
        <v>0.6759173871185381</v>
      </c>
      <c r="H19" s="80">
        <v>0.89168264073020997</v>
      </c>
      <c r="I19" s="80">
        <v>0.75802461127315546</v>
      </c>
      <c r="J19" s="81">
        <v>94880.654653718753</v>
      </c>
      <c r="K19" s="81">
        <v>140373.15278750061</v>
      </c>
      <c r="L19" s="9">
        <f>44*('Phase CEMS VOC Concentration'!J19-Backgrounds!J19)/ (0.082*('Phase Parameters'!$R19+273.15))</f>
        <v>2688.4855997165023</v>
      </c>
      <c r="M19" s="9">
        <f>28*('Phase CEMS VOC Concentration'!K19-Backgrounds!L19)/ (0.082*('Phase Parameters'!$R19+273.15))</f>
        <v>189.62686222578205</v>
      </c>
      <c r="N19" s="9">
        <f>16.01*('Phase CEMS VOC Concentration'!L19-Backgrounds!M19)/ (0.082*('Phase Parameters'!$R19+273.15))</f>
        <v>93.311787310499511</v>
      </c>
      <c r="O19" s="9">
        <f>16.01*('Phase CEMS VOC Concentration'!M19-Backgrounds!N19)/ (0.082*('Phase Parameters'!$R19+273.15))</f>
        <v>17.710622984068493</v>
      </c>
      <c r="P19" s="9">
        <f>31.61*('Phase CEMS VOC Concentration'!N19-Backgrounds!O19)/ (0.082*('Phase Parameters'!$R19+273.15))</f>
        <v>1.5381941802276295</v>
      </c>
      <c r="Q19" s="9">
        <f t="shared" si="0"/>
        <v>897.70679908872978</v>
      </c>
      <c r="R19" s="2">
        <f t="shared" si="7"/>
        <v>0.52010000000000001</v>
      </c>
      <c r="S19" s="2">
        <f>(L19/'Emission Factors'!Q19)*R19*1000</f>
        <v>1557.6147599995465</v>
      </c>
      <c r="T19" s="2">
        <f t="shared" si="6"/>
        <v>109.86318822999259</v>
      </c>
      <c r="U19" s="2">
        <f t="shared" si="2"/>
        <v>54.061594085569496</v>
      </c>
      <c r="V19" s="2">
        <f t="shared" si="3"/>
        <v>10.260917064864042</v>
      </c>
      <c r="W19" s="2">
        <f t="shared" si="4"/>
        <v>0.89117604316742649</v>
      </c>
      <c r="X19" s="2">
        <f>(('Phase CEMS PM Concentrations'!X19-Backgrounds!S19)/$Q19)*$R19*1000</f>
        <v>0.59169840453386013</v>
      </c>
      <c r="Y19" s="2">
        <f>(('Filter Weights'!CY19)/$Q19)*$R19*1000</f>
        <v>13.997343930143957</v>
      </c>
      <c r="Z19" s="2">
        <f>(('Filter Weights'!EL19)/$Q19)*$R19*1000</f>
        <v>8.6378723676184972</v>
      </c>
      <c r="AA19" s="2">
        <f>(('Filter Weights'!EM19)/$Q19)*$R19*1000</f>
        <v>0.46774641233518327</v>
      </c>
      <c r="AB19" s="18">
        <f>(('Filter Weights'!CZ19)/$Q19)*$R19*1000</f>
        <v>0</v>
      </c>
      <c r="AC19" s="18">
        <f>(('Filter Weights'!DA19)/$Q19)*$R19*1000</f>
        <v>0</v>
      </c>
      <c r="AD19" s="18">
        <f>(('Filter Weights'!DB19)/$Q19)*$R19*1000</f>
        <v>0</v>
      </c>
      <c r="AE19" s="18">
        <f>(('Filter Weights'!DC19)/$Q19)*$R19*1000</f>
        <v>6.3802128668383532E-4</v>
      </c>
      <c r="AF19" s="18">
        <f>(('Filter Weights'!DD19)/$Q19)*$R19*1000</f>
        <v>0</v>
      </c>
      <c r="AG19" s="18">
        <f>(('Filter Weights'!DE19)/$Q19)*$R19*1000</f>
        <v>1.7482762185558085E-2</v>
      </c>
      <c r="AH19" s="18">
        <f>(('Filter Weights'!DF19)/$Q19)*$R19*1000</f>
        <v>2.8194723167928894E-2</v>
      </c>
      <c r="AI19" s="18">
        <f>(('Filter Weights'!DG19)/$Q19)*$R19*1000</f>
        <v>1.339427531378283E-2</v>
      </c>
      <c r="AJ19" s="18">
        <f>(('Filter Weights'!DH19)/$Q19)*$R19*1000</f>
        <v>6.3805115240490439E-3</v>
      </c>
      <c r="AK19" s="18">
        <f>(('Filter Weights'!DI19)/$Q19)*$R19*1000</f>
        <v>9.0714097155573313E-5</v>
      </c>
      <c r="AL19" s="18">
        <f>(('Filter Weights'!DJ19)/$Q19)*$R19*1000</f>
        <v>0</v>
      </c>
      <c r="AM19" s="18">
        <f>(('Filter Weights'!DK19)/$Q19)*$R19*1000</f>
        <v>1.7002591300195591E-4</v>
      </c>
      <c r="AN19" s="18">
        <f>(('Filter Weights'!DL19)/$Q19)*$R19*1000</f>
        <v>7.4068606673954762E-5</v>
      </c>
      <c r="AO19" s="18">
        <f>(('Filter Weights'!DM19)/$Q19)*$R19*1000</f>
        <v>0</v>
      </c>
      <c r="AP19" s="18">
        <f>(('Filter Weights'!DN19)/$Q19)*$R19*1000</f>
        <v>0</v>
      </c>
      <c r="AQ19" s="18">
        <f>(('Filter Weights'!DO19)/$Q19)*$R19*1000</f>
        <v>0</v>
      </c>
      <c r="AR19" s="18">
        <f>(('Filter Weights'!DP19)/$Q19)*$R19*1000</f>
        <v>0</v>
      </c>
      <c r="AS19" s="18">
        <f>(('Filter Weights'!DQ19)/$Q19)*$R19*1000</f>
        <v>4.5874795181184841E-3</v>
      </c>
      <c r="AT19" s="18">
        <f>(('Filter Weights'!DR19)/$Q19)*$R19*1000</f>
        <v>0</v>
      </c>
      <c r="AU19" s="18">
        <f>(('Filter Weights'!DS19)/$Q19)*$R19*1000</f>
        <v>1.4022785040587054E-4</v>
      </c>
      <c r="AV19" s="18">
        <f>(('Filter Weights'!DT19)/$Q19)*$R19*1000</f>
        <v>5.4983385664049028E-5</v>
      </c>
      <c r="AW19" s="18">
        <f>(('Filter Weights'!DU19)/$Q19)*$R19*1000</f>
        <v>0</v>
      </c>
      <c r="AX19" s="18">
        <f>(('Filter Weights'!DV19)/$Q19)*$R19*1000</f>
        <v>1.2090398523168252E-4</v>
      </c>
      <c r="AY19" s="18">
        <f>(('Filter Weights'!DW19)/$Q19)*$R19*1000</f>
        <v>0</v>
      </c>
      <c r="AZ19" s="18">
        <f>(('Filter Weights'!DX19)/$Q19)*$R19*1000</f>
        <v>0</v>
      </c>
      <c r="BA19" s="18">
        <f>(('Filter Weights'!DY19)/$Q19)*$R19*1000</f>
        <v>0</v>
      </c>
      <c r="BB19" s="18">
        <f>(('Filter Weights'!DZ19)/$Q19)*$R19*1000</f>
        <v>0</v>
      </c>
      <c r="BC19" s="18">
        <f>(('Filter Weights'!EA19)/$Q19)*$R19*1000</f>
        <v>0</v>
      </c>
      <c r="BD19" s="18">
        <f>(('Filter Weights'!EB19)/$Q19)*$R19*1000</f>
        <v>1.8697046720782739E-4</v>
      </c>
      <c r="BE19" s="18">
        <f>(('Filter Weights'!EC19)/$Q19)*$R19*1000</f>
        <v>3.1070092344830135E-4</v>
      </c>
      <c r="BF19" s="18">
        <f>(('Filter Weights'!ED19)/$Q19)*$R19*1000</f>
        <v>2.3931744404898228E-4</v>
      </c>
      <c r="BG19" s="18">
        <f>(('Filter Weights'!EE19)/$Q19)*$R19*1000</f>
        <v>9.7884538714686112E-4</v>
      </c>
      <c r="BH19" s="18">
        <f>(('Filter Weights'!EF19)/$Q19)*$R19*1000</f>
        <v>1.4297741610010332E-3</v>
      </c>
      <c r="BI19" s="18">
        <f>(('Filter Weights'!EG19)/$Q19)*$R19*1000</f>
        <v>7.7675230862075376E-4</v>
      </c>
      <c r="BJ19" s="18">
        <f>(('Filter Weights'!EH19)/$Q19)*$R19*1000</f>
        <v>0</v>
      </c>
      <c r="BK19" s="18">
        <f>(('Filter Weights'!EI19)/$Q19)*$R19*1000</f>
        <v>0</v>
      </c>
      <c r="BL19" s="18">
        <f>(('Filter Weights'!EJ19)/$Q19)*$R19*1000</f>
        <v>0</v>
      </c>
      <c r="BM19" s="18">
        <f>(('Filter Weights'!EK19)/$Q19)*$R19*1000</f>
        <v>0</v>
      </c>
    </row>
    <row r="20" spans="1:65">
      <c r="A20" s="20">
        <f>IF(ISBLANK('Phase CEMS PM Concentrations'!A20),"",'Phase CEMS PM Concentrations'!A20)</f>
        <v>44342</v>
      </c>
      <c r="B20" s="20" t="str">
        <f>IF(ISBLANK('Phase CEMS PM Concentrations'!B20),"",'Phase CEMS PM Concentrations'!B20)</f>
        <v>BK Princess</v>
      </c>
      <c r="C20" s="20" t="str">
        <f>IF(ISBLANK('Phase CEMS PM Concentrations'!C20),"",'Phase CEMS PM Concentrations'!C20)</f>
        <v>Wet birch</v>
      </c>
      <c r="D20" s="20" t="str">
        <f>IF(ISBLANK('Phase CEMS PM Concentrations'!D20),"",'Phase CEMS PM Concentrations'!D20)</f>
        <v>Low</v>
      </c>
      <c r="E20" s="23">
        <v>44342.418055555558</v>
      </c>
      <c r="F20" s="23">
        <v>44342.729166666664</v>
      </c>
      <c r="G20" s="80">
        <v>0.79925804588114502</v>
      </c>
      <c r="H20" s="80">
        <v>0.98132814883989872</v>
      </c>
      <c r="I20" s="80">
        <v>0.81446562684053003</v>
      </c>
      <c r="J20" s="81">
        <v>26381.74054894365</v>
      </c>
      <c r="K20" s="81">
        <v>33007.788516985151</v>
      </c>
      <c r="L20" s="9">
        <f>44*('Phase CEMS VOC Concentration'!J20-Backgrounds!J20)/ (0.082*('Phase Parameters'!$R20+273.15))</f>
        <v>1230.9072205217446</v>
      </c>
      <c r="M20" s="9">
        <f>28*('Phase CEMS VOC Concentration'!K20-Backgrounds!L20)/ (0.082*('Phase Parameters'!$R20+273.15))</f>
        <v>13.281010560719961</v>
      </c>
      <c r="N20" s="9">
        <f>16.01*('Phase CEMS VOC Concentration'!L20-Backgrounds!M20)/ (0.082*('Phase Parameters'!$R20+273.15))</f>
        <v>15.381214040404</v>
      </c>
      <c r="O20" s="9">
        <f>16.01*('Phase CEMS VOC Concentration'!M20-Backgrounds!N20)/ (0.082*('Phase Parameters'!$R20+273.15))</f>
        <v>8.3842566865328312</v>
      </c>
      <c r="P20" s="9">
        <f>31.61*('Phase CEMS VOC Concentration'!N20-Backgrounds!O20)/ (0.082*('Phase Parameters'!$R20+273.15))</f>
        <v>1.1172290962289086</v>
      </c>
      <c r="Q20" s="9">
        <f t="shared" si="0"/>
        <v>359.2068008410738</v>
      </c>
      <c r="R20" s="2">
        <f t="shared" si="7"/>
        <v>0.52010000000000001</v>
      </c>
      <c r="S20" s="2">
        <f>(L20/'Emission Factors'!Q20)*R20*1000</f>
        <v>1782.2458926010283</v>
      </c>
      <c r="T20" s="2">
        <f t="shared" si="6"/>
        <v>19.229740574111684</v>
      </c>
      <c r="U20" s="2">
        <f t="shared" si="2"/>
        <v>22.270651345361109</v>
      </c>
      <c r="V20" s="2">
        <f t="shared" si="3"/>
        <v>12.139669662309755</v>
      </c>
      <c r="W20" s="2">
        <f t="shared" si="4"/>
        <v>1.6176499208480808</v>
      </c>
      <c r="X20" s="2">
        <f>(('Phase CEMS PM Concentrations'!X20-Backgrounds!S20)/$Q20)*$R20*1000</f>
        <v>1.6899454981883156E-2</v>
      </c>
      <c r="Y20" s="2">
        <f>(('Filter Weights'!CY20)/$Q20)*$R20*1000</f>
        <v>0.70524896800412185</v>
      </c>
      <c r="Z20" s="2">
        <f>(('Filter Weights'!EL20)/$Q20)*$R20*1000</f>
        <v>0.33450739724594025</v>
      </c>
      <c r="AA20" s="2">
        <f>(('Filter Weights'!EM20)/$Q20)*$R20*1000</f>
        <v>5.0647182066130295E-2</v>
      </c>
      <c r="AB20" s="18">
        <f>(('Filter Weights'!CZ20)/$Q20)*$R20*1000</f>
        <v>0</v>
      </c>
      <c r="AC20" s="18">
        <f>(('Filter Weights'!DA20)/$Q20)*$R20*1000</f>
        <v>0</v>
      </c>
      <c r="AD20" s="18">
        <f>(('Filter Weights'!DB20)/$Q20)*$R20*1000</f>
        <v>0</v>
      </c>
      <c r="AE20" s="18">
        <f>(('Filter Weights'!DC20)/$Q20)*$R20*1000</f>
        <v>6.1769422426099694E-4</v>
      </c>
      <c r="AF20" s="18">
        <f>(('Filter Weights'!DD20)/$Q20)*$R20*1000</f>
        <v>7.1424729526684199E-6</v>
      </c>
      <c r="AG20" s="18">
        <f>(('Filter Weights'!DE20)/$Q20)*$R20*1000</f>
        <v>3.7274788303122879E-3</v>
      </c>
      <c r="AH20" s="18">
        <f>(('Filter Weights'!DF20)/$Q20)*$R20*1000</f>
        <v>5.3267324472090804E-3</v>
      </c>
      <c r="AI20" s="18">
        <f>(('Filter Weights'!DG20)/$Q20)*$R20*1000</f>
        <v>1.1475776888544046E-2</v>
      </c>
      <c r="AJ20" s="18">
        <f>(('Filter Weights'!DH20)/$Q20)*$R20*1000</f>
        <v>0</v>
      </c>
      <c r="AK20" s="18">
        <f>(('Filter Weights'!DI20)/$Q20)*$R20*1000</f>
        <v>0</v>
      </c>
      <c r="AL20" s="18">
        <f>(('Filter Weights'!DJ20)/$Q20)*$R20*1000</f>
        <v>0</v>
      </c>
      <c r="AM20" s="18">
        <f>(('Filter Weights'!DK20)/$Q20)*$R20*1000</f>
        <v>1.6768951439925634E-4</v>
      </c>
      <c r="AN20" s="18">
        <f>(('Filter Weights'!DL20)/$Q20)*$R20*1000</f>
        <v>0</v>
      </c>
      <c r="AO20" s="18">
        <f>(('Filter Weights'!DM20)/$Q20)*$R20*1000</f>
        <v>0</v>
      </c>
      <c r="AP20" s="18">
        <f>(('Filter Weights'!DN20)/$Q20)*$R20*1000</f>
        <v>0</v>
      </c>
      <c r="AQ20" s="18">
        <f>(('Filter Weights'!DO20)/$Q20)*$R20*1000</f>
        <v>0</v>
      </c>
      <c r="AR20" s="18">
        <f>(('Filter Weights'!DP20)/$Q20)*$R20*1000</f>
        <v>1.0475931986751259E-5</v>
      </c>
      <c r="AS20" s="18">
        <f>(('Filter Weights'!DQ20)/$Q20)*$R20*1000</f>
        <v>1.1046213947776609E-3</v>
      </c>
      <c r="AT20" s="18">
        <f>(('Filter Weights'!DR20)/$Q20)*$R20*1000</f>
        <v>0</v>
      </c>
      <c r="AU20" s="18">
        <f>(('Filter Weights'!DS20)/$Q20)*$R20*1000</f>
        <v>7.0866598733905574E-6</v>
      </c>
      <c r="AV20" s="18">
        <f>(('Filter Weights'!DT20)/$Q20)*$R20*1000</f>
        <v>0</v>
      </c>
      <c r="AW20" s="18">
        <f>(('Filter Weights'!DU20)/$Q20)*$R20*1000</f>
        <v>3.389272113360702E-6</v>
      </c>
      <c r="AX20" s="18">
        <f>(('Filter Weights'!DV20)/$Q20)*$R20*1000</f>
        <v>2.0666671555822489E-5</v>
      </c>
      <c r="AY20" s="18">
        <f>(('Filter Weights'!DW20)/$Q20)*$R20*1000</f>
        <v>4.5293000060365736E-5</v>
      </c>
      <c r="AZ20" s="18">
        <f>(('Filter Weights'!DX20)/$Q20)*$R20*1000</f>
        <v>0</v>
      </c>
      <c r="BA20" s="18">
        <f>(('Filter Weights'!DY20)/$Q20)*$R20*1000</f>
        <v>0</v>
      </c>
      <c r="BB20" s="18">
        <f>(('Filter Weights'!DZ20)/$Q20)*$R20*1000</f>
        <v>0</v>
      </c>
      <c r="BC20" s="18">
        <f>(('Filter Weights'!EA20)/$Q20)*$R20*1000</f>
        <v>0</v>
      </c>
      <c r="BD20" s="18">
        <f>(('Filter Weights'!EB20)/$Q20)*$R20*1000</f>
        <v>0</v>
      </c>
      <c r="BE20" s="18">
        <f>(('Filter Weights'!EC20)/$Q20)*$R20*1000</f>
        <v>6.2547476273838398E-5</v>
      </c>
      <c r="BF20" s="18">
        <f>(('Filter Weights'!ED20)/$Q20)*$R20*1000</f>
        <v>8.7750455646899218E-5</v>
      </c>
      <c r="BG20" s="18">
        <f>(('Filter Weights'!EE20)/$Q20)*$R20*1000</f>
        <v>0</v>
      </c>
      <c r="BH20" s="18">
        <f>(('Filter Weights'!EF20)/$Q20)*$R20*1000</f>
        <v>7.6720796020619507E-5</v>
      </c>
      <c r="BI20" s="18">
        <f>(('Filter Weights'!EG20)/$Q20)*$R20*1000</f>
        <v>0</v>
      </c>
      <c r="BJ20" s="18">
        <f>(('Filter Weights'!EH20)/$Q20)*$R20*1000</f>
        <v>0</v>
      </c>
      <c r="BK20" s="18">
        <f>(('Filter Weights'!EI20)/$Q20)*$R20*1000</f>
        <v>0</v>
      </c>
      <c r="BL20" s="18">
        <f>(('Filter Weights'!EJ20)/$Q20)*$R20*1000</f>
        <v>0</v>
      </c>
      <c r="BM20" s="18">
        <f>(('Filter Weights'!EK20)/$Q20)*$R20*1000</f>
        <v>0</v>
      </c>
    </row>
    <row r="21" spans="1:65">
      <c r="A21" s="20">
        <f>IF(ISBLANK('Phase CEMS PM Concentrations'!A21),"",'Phase CEMS PM Concentrations'!A21)</f>
        <v>44343</v>
      </c>
      <c r="B21" s="20" t="str">
        <f>IF(ISBLANK('Phase CEMS PM Concentrations'!B21),"",'Phase CEMS PM Concentrations'!B21)</f>
        <v>BK Princess</v>
      </c>
      <c r="C21" s="20" t="str">
        <f>IF(ISBLANK('Phase CEMS PM Concentrations'!C21),"",'Phase CEMS PM Concentrations'!C21)</f>
        <v>Wet birch</v>
      </c>
      <c r="D21" s="20" t="str">
        <f>IF(ISBLANK('Phase CEMS PM Concentrations'!D21),"",'Phase CEMS PM Concentrations'!D21)</f>
        <v>Startup</v>
      </c>
      <c r="E21" s="23">
        <v>44343.367361111108</v>
      </c>
      <c r="F21" s="23">
        <v>44343.402083333334</v>
      </c>
      <c r="G21" s="80">
        <v>0.68827355484046715</v>
      </c>
      <c r="H21" s="80">
        <v>0.94743559076273964</v>
      </c>
      <c r="I21" s="80">
        <v>0.72645946758910307</v>
      </c>
      <c r="J21" s="81">
        <v>48954.736532340452</v>
      </c>
      <c r="K21" s="81">
        <v>71126.859644763652</v>
      </c>
      <c r="L21" s="9">
        <f>44*('Phase CEMS VOC Concentration'!J21-Backgrounds!J21)/ (0.082*('Phase Parameters'!$R21+273.15))</f>
        <v>2638.4453644742589</v>
      </c>
      <c r="M21" s="9">
        <f>28*('Phase CEMS VOC Concentration'!K21-Backgrounds!L21)/ (0.082*('Phase Parameters'!$R21+273.15))</f>
        <v>103.99146061071329</v>
      </c>
      <c r="N21" s="9">
        <f>16.01*('Phase CEMS VOC Concentration'!L21-Backgrounds!M21)/ (0.082*('Phase Parameters'!$R21+273.15))</f>
        <v>33.978999785032741</v>
      </c>
      <c r="O21" s="9">
        <f>16.01*('Phase CEMS VOC Concentration'!M21-Backgrounds!N21)/ (0.082*('Phase Parameters'!$R21+273.15))</f>
        <v>5.5114581782313907</v>
      </c>
      <c r="P21" s="9">
        <f>31.61*('Phase CEMS VOC Concentration'!N21-Backgrounds!O21)/ (0.082*('Phase Parameters'!$R21+273.15))</f>
        <v>1.6697409005516957</v>
      </c>
      <c r="Q21" s="9">
        <f t="shared" si="0"/>
        <v>793.74312120866409</v>
      </c>
      <c r="R21" s="2">
        <f t="shared" si="7"/>
        <v>0.52010000000000001</v>
      </c>
      <c r="S21" s="2">
        <f>(L21/'Emission Factors'!Q21)*R21*1000</f>
        <v>1728.8407261702937</v>
      </c>
      <c r="T21" s="2">
        <f t="shared" si="6"/>
        <v>68.14038096011862</v>
      </c>
      <c r="U21" s="2">
        <f t="shared" ref="U21:U24" si="8">(N21/$Q21)*$R21*1000</f>
        <v>22.264731896239862</v>
      </c>
      <c r="V21" s="2">
        <f t="shared" ref="V21:V24" si="9">(O21/$Q21)*$R21*1000</f>
        <v>3.6113817202386573</v>
      </c>
      <c r="W21" s="2">
        <f t="shared" ref="W21:W24" si="10">(P21/$Q21)*$R21*1000</f>
        <v>1.094097346071536</v>
      </c>
      <c r="X21" s="2">
        <f>(('Phase CEMS PM Concentrations'!X21-Backgrounds!S21)/$Q21)*$R21*1000</f>
        <v>0.55330509597518152</v>
      </c>
      <c r="Y21" s="2">
        <f>(('Filter Weights'!CY21)/$Q21)*$R21*1000</f>
        <v>6.5989711909565445</v>
      </c>
      <c r="Z21" s="2">
        <f>(('Filter Weights'!EL21)/$Q21)*$R21*1000</f>
        <v>3.2781811356342994</v>
      </c>
      <c r="AA21" s="2">
        <f>(('Filter Weights'!EM21)/$Q21)*$R21*1000</f>
        <v>0.35231618134975801</v>
      </c>
      <c r="AB21" s="18">
        <f>(('Filter Weights'!CZ21)/$Q21)*$R21*1000</f>
        <v>0</v>
      </c>
      <c r="AC21" s="18">
        <f>(('Filter Weights'!DA21)/$Q21)*$R21*1000</f>
        <v>1.0323029193735028E-3</v>
      </c>
      <c r="AD21" s="18">
        <f>(('Filter Weights'!DB21)/$Q21)*$R21*1000</f>
        <v>0</v>
      </c>
      <c r="AE21" s="18">
        <f>(('Filter Weights'!DC21)/$Q21)*$R21*1000</f>
        <v>0</v>
      </c>
      <c r="AF21" s="18">
        <f>(('Filter Weights'!DD21)/$Q21)*$R21*1000</f>
        <v>0</v>
      </c>
      <c r="AG21" s="18">
        <f>(('Filter Weights'!DE21)/$Q21)*$R21*1000</f>
        <v>6.0274502744156197E-3</v>
      </c>
      <c r="AH21" s="18">
        <f>(('Filter Weights'!DF21)/$Q21)*$R21*1000</f>
        <v>1.1536025787760454E-2</v>
      </c>
      <c r="AI21" s="18">
        <f>(('Filter Weights'!DG21)/$Q21)*$R21*1000</f>
        <v>1.4376471537305386E-2</v>
      </c>
      <c r="AJ21" s="18">
        <f>(('Filter Weights'!DH21)/$Q21)*$R21*1000</f>
        <v>1.2787052864229784E-3</v>
      </c>
      <c r="AK21" s="18">
        <f>(('Filter Weights'!DI21)/$Q21)*$R21*1000</f>
        <v>0</v>
      </c>
      <c r="AL21" s="18">
        <f>(('Filter Weights'!DJ21)/$Q21)*$R21*1000</f>
        <v>0</v>
      </c>
      <c r="AM21" s="18">
        <f>(('Filter Weights'!DK21)/$Q21)*$R21*1000</f>
        <v>4.2225773562105167E-3</v>
      </c>
      <c r="AN21" s="18">
        <f>(('Filter Weights'!DL21)/$Q21)*$R21*1000</f>
        <v>3.7062423069120773E-4</v>
      </c>
      <c r="AO21" s="18">
        <f>(('Filter Weights'!DM21)/$Q21)*$R21*1000</f>
        <v>9.5926730183229572E-3</v>
      </c>
      <c r="AP21" s="18">
        <f>(('Filter Weights'!DN21)/$Q21)*$R21*1000</f>
        <v>0</v>
      </c>
      <c r="AQ21" s="18">
        <f>(('Filter Weights'!DO21)/$Q21)*$R21*1000</f>
        <v>7.5530386304618739E-4</v>
      </c>
      <c r="AR21" s="18">
        <f>(('Filter Weights'!DP21)/$Q21)*$R21*1000</f>
        <v>0</v>
      </c>
      <c r="AS21" s="18">
        <f>(('Filter Weights'!DQ21)/$Q21)*$R21*1000</f>
        <v>4.6796155289830629E-3</v>
      </c>
      <c r="AT21" s="18">
        <f>(('Filter Weights'!DR21)/$Q21)*$R21*1000</f>
        <v>2.6651637635308773E-5</v>
      </c>
      <c r="AU21" s="18">
        <f>(('Filter Weights'!DS21)/$Q21)*$R21*1000</f>
        <v>0</v>
      </c>
      <c r="AV21" s="18">
        <f>(('Filter Weights'!DT21)/$Q21)*$R21*1000</f>
        <v>0</v>
      </c>
      <c r="AW21" s="18">
        <f>(('Filter Weights'!DU21)/$Q21)*$R21*1000</f>
        <v>8.7526930819698475E-5</v>
      </c>
      <c r="AX21" s="18">
        <f>(('Filter Weights'!DV21)/$Q21)*$R21*1000</f>
        <v>8.4330251473166835E-5</v>
      </c>
      <c r="AY21" s="18">
        <f>(('Filter Weights'!DW21)/$Q21)*$R21*1000</f>
        <v>5.7922233630682819E-5</v>
      </c>
      <c r="AZ21" s="18">
        <f>(('Filter Weights'!DX21)/$Q21)*$R21*1000</f>
        <v>0</v>
      </c>
      <c r="BA21" s="18">
        <f>(('Filter Weights'!DY21)/$Q21)*$R21*1000</f>
        <v>0</v>
      </c>
      <c r="BB21" s="18">
        <f>(('Filter Weights'!DZ21)/$Q21)*$R21*1000</f>
        <v>0</v>
      </c>
      <c r="BC21" s="18">
        <f>(('Filter Weights'!EA21)/$Q21)*$R21*1000</f>
        <v>0</v>
      </c>
      <c r="BD21" s="18">
        <f>(('Filter Weights'!EB21)/$Q21)*$R21*1000</f>
        <v>5.7922233630682819E-5</v>
      </c>
      <c r="BE21" s="18">
        <f>(('Filter Weights'!EC21)/$Q21)*$R21*1000</f>
        <v>8.7526930819698475E-5</v>
      </c>
      <c r="BF21" s="18">
        <f>(('Filter Weights'!ED21)/$Q21)*$R21*1000</f>
        <v>0</v>
      </c>
      <c r="BG21" s="18">
        <f>(('Filter Weights'!EE21)/$Q21)*$R21*1000</f>
        <v>1.1056710819723676E-3</v>
      </c>
      <c r="BH21" s="18">
        <f>(('Filter Weights'!EF21)/$Q21)*$R21*1000</f>
        <v>0</v>
      </c>
      <c r="BI21" s="18">
        <f>(('Filter Weights'!EG21)/$Q21)*$R21*1000</f>
        <v>0</v>
      </c>
      <c r="BJ21" s="18">
        <f>(('Filter Weights'!EH21)/$Q21)*$R21*1000</f>
        <v>0</v>
      </c>
      <c r="BK21" s="18">
        <f>(('Filter Weights'!EI21)/$Q21)*$R21*1000</f>
        <v>3.7631536260352258E-5</v>
      </c>
      <c r="BL21" s="18">
        <f>(('Filter Weights'!EJ21)/$Q21)*$R21*1000</f>
        <v>5.7922233630682819E-5</v>
      </c>
      <c r="BM21" s="18">
        <f>(('Filter Weights'!EK21)/$Q21)*$R21*1000</f>
        <v>2.9579107085124517E-4</v>
      </c>
    </row>
    <row r="22" spans="1:65">
      <c r="A22" s="20">
        <f>IF(ISBLANK('Phase CEMS PM Concentrations'!A22),"",'Phase CEMS PM Concentrations'!A22)</f>
        <v>44343</v>
      </c>
      <c r="B22" s="20" t="str">
        <f>IF(ISBLANK('Phase CEMS PM Concentrations'!B22),"",'Phase CEMS PM Concentrations'!B22)</f>
        <v>BK Princess</v>
      </c>
      <c r="C22" s="20" t="str">
        <f>IF(ISBLANK('Phase CEMS PM Concentrations'!C22),"",'Phase CEMS PM Concentrations'!C22)</f>
        <v>Wet birch</v>
      </c>
      <c r="D22" s="20" t="str">
        <f>IF(ISBLANK('Phase CEMS PM Concentrations'!D22),"",'Phase CEMS PM Concentrations'!D22)</f>
        <v>Low</v>
      </c>
      <c r="E22" s="23">
        <v>44343.403819444444</v>
      </c>
      <c r="F22" s="23">
        <v>44343.740972222222</v>
      </c>
      <c r="G22" s="80">
        <v>0.81486844337474607</v>
      </c>
      <c r="H22" s="80">
        <v>0.98690817712636802</v>
      </c>
      <c r="I22" s="80">
        <v>0.82567807447643304</v>
      </c>
      <c r="J22" s="81">
        <v>25490.041506835856</v>
      </c>
      <c r="K22" s="81">
        <v>31281.173929462573</v>
      </c>
      <c r="L22" s="9">
        <f>44*('Phase CEMS VOC Concentration'!J22-Backgrounds!J22)/ (0.082*('Phase Parameters'!$R22+273.15))</f>
        <v>1143.4389430149834</v>
      </c>
      <c r="M22" s="9">
        <f>28*('Phase CEMS VOC Concentration'!K22-Backgrounds!L22)/ (0.082*('Phase Parameters'!$R22+273.15))</f>
        <v>8.5661082124378556</v>
      </c>
      <c r="N22" s="9">
        <f>16.01*('Phase CEMS VOC Concentration'!L22-Backgrounds!M22)/ (0.082*('Phase Parameters'!$R22+273.15))</f>
        <v>12.063427201785702</v>
      </c>
      <c r="O22" s="9">
        <f>16.01*('Phase CEMS VOC Concentration'!M22-Backgrounds!N22)/ (0.082*('Phase Parameters'!$R22+273.15))</f>
        <v>7.3155416295295916</v>
      </c>
      <c r="P22" s="9">
        <f>31.61*('Phase CEMS VOC Concentration'!N22-Backgrounds!O22)/ (0.082*('Phase Parameters'!$R22+273.15))</f>
        <v>1.0492577520347592</v>
      </c>
      <c r="Q22" s="9">
        <f t="shared" si="0"/>
        <v>330.04332209826669</v>
      </c>
      <c r="R22" s="2">
        <f t="shared" si="7"/>
        <v>0.52010000000000001</v>
      </c>
      <c r="S22" s="2">
        <f>(L22/'Emission Factors'!Q22)*R22*1000</f>
        <v>1801.8925227186596</v>
      </c>
      <c r="T22" s="2">
        <f t="shared" si="6"/>
        <v>13.498933573218709</v>
      </c>
      <c r="U22" s="2">
        <f t="shared" si="8"/>
        <v>19.010196745567463</v>
      </c>
      <c r="V22" s="2">
        <f t="shared" si="9"/>
        <v>11.528223559649847</v>
      </c>
      <c r="W22" s="2">
        <f t="shared" si="10"/>
        <v>1.6534767416708909</v>
      </c>
      <c r="X22" s="2">
        <f>(('Phase CEMS PM Concentrations'!X22-Backgrounds!S22)/$Q22)*$R22*1000</f>
        <v>3.7973820074046032E-2</v>
      </c>
      <c r="Y22" s="2">
        <f>(('Filter Weights'!CY22)/$Q22)*$R22*1000</f>
        <v>0.69811283503735588</v>
      </c>
      <c r="Z22" s="2">
        <f>(('Filter Weights'!EL22)/$Q22)*$R22*1000</f>
        <v>0.31642056628557552</v>
      </c>
      <c r="AA22" s="2">
        <f>(('Filter Weights'!EM22)/$Q22)*$R22*1000</f>
        <v>2.8957355883731859E-2</v>
      </c>
      <c r="AB22" s="18">
        <f>(('Filter Weights'!CZ22)/$Q22)*$R22*1000</f>
        <v>0</v>
      </c>
      <c r="AC22" s="18">
        <f>(('Filter Weights'!DA22)/$Q22)*$R22*1000</f>
        <v>4.8373276286158218E-4</v>
      </c>
      <c r="AD22" s="18">
        <f>(('Filter Weights'!DB22)/$Q22)*$R22*1000</f>
        <v>0</v>
      </c>
      <c r="AE22" s="18">
        <f>(('Filter Weights'!DC22)/$Q22)*$R22*1000</f>
        <v>0</v>
      </c>
      <c r="AF22" s="18">
        <f>(('Filter Weights'!DD22)/$Q22)*$R22*1000</f>
        <v>7.8731085414465732E-5</v>
      </c>
      <c r="AG22" s="18">
        <f>(('Filter Weights'!DE22)/$Q22)*$R22*1000</f>
        <v>4.4327546297615429E-3</v>
      </c>
      <c r="AH22" s="18">
        <f>(('Filter Weights'!DF22)/$Q22)*$R22*1000</f>
        <v>3.5918902539328829E-3</v>
      </c>
      <c r="AI22" s="18">
        <f>(('Filter Weights'!DG22)/$Q22)*$R22*1000</f>
        <v>1.0828531888407366E-2</v>
      </c>
      <c r="AJ22" s="18">
        <f>(('Filter Weights'!DH22)/$Q22)*$R22*1000</f>
        <v>0</v>
      </c>
      <c r="AK22" s="18">
        <f>(('Filter Weights'!DI22)/$Q22)*$R22*1000</f>
        <v>0</v>
      </c>
      <c r="AL22" s="18">
        <f>(('Filter Weights'!DJ22)/$Q22)*$R22*1000</f>
        <v>1.0863219245240285E-5</v>
      </c>
      <c r="AM22" s="18">
        <f>(('Filter Weights'!DK22)/$Q22)*$R22*1000</f>
        <v>1.1100523790249991E-3</v>
      </c>
      <c r="AN22" s="18">
        <f>(('Filter Weights'!DL22)/$Q22)*$R22*1000</f>
        <v>0</v>
      </c>
      <c r="AO22" s="18">
        <f>(('Filter Weights'!DM22)/$Q22)*$R22*1000</f>
        <v>0</v>
      </c>
      <c r="AP22" s="18">
        <f>(('Filter Weights'!DN22)/$Q22)*$R22*1000</f>
        <v>0</v>
      </c>
      <c r="AQ22" s="18">
        <f>(('Filter Weights'!DO22)/$Q22)*$R22*1000</f>
        <v>0</v>
      </c>
      <c r="AR22" s="18">
        <f>(('Filter Weights'!DP22)/$Q22)*$R22*1000</f>
        <v>0</v>
      </c>
      <c r="AS22" s="18">
        <f>(('Filter Weights'!DQ22)/$Q22)*$R22*1000</f>
        <v>6.8164744314482039E-4</v>
      </c>
      <c r="AT22" s="18">
        <f>(('Filter Weights'!DR22)/$Q22)*$R22*1000</f>
        <v>0</v>
      </c>
      <c r="AU22" s="18">
        <f>(('Filter Weights'!DS22)/$Q22)*$R22*1000</f>
        <v>0</v>
      </c>
      <c r="AV22" s="18">
        <f>(('Filter Weights'!DT22)/$Q22)*$R22*1000</f>
        <v>0</v>
      </c>
      <c r="AW22" s="18">
        <f>(('Filter Weights'!DU22)/$Q22)*$R22*1000</f>
        <v>0</v>
      </c>
      <c r="AX22" s="18">
        <f>(('Filter Weights'!DV22)/$Q22)*$R22*1000</f>
        <v>0</v>
      </c>
      <c r="AY22" s="18">
        <f>(('Filter Weights'!DW22)/$Q22)*$R22*1000</f>
        <v>4.3452876980961141E-5</v>
      </c>
      <c r="AZ22" s="18">
        <f>(('Filter Weights'!DX22)/$Q22)*$R22*1000</f>
        <v>0</v>
      </c>
      <c r="BA22" s="18">
        <f>(('Filter Weights'!DY22)/$Q22)*$R22*1000</f>
        <v>0</v>
      </c>
      <c r="BB22" s="18">
        <f>(('Filter Weights'!DZ22)/$Q22)*$R22*1000</f>
        <v>0</v>
      </c>
      <c r="BC22" s="18">
        <f>(('Filter Weights'!EA22)/$Q22)*$R22*1000</f>
        <v>0</v>
      </c>
      <c r="BD22" s="18">
        <f>(('Filter Weights'!EB22)/$Q22)*$R22*1000</f>
        <v>0</v>
      </c>
      <c r="BE22" s="18">
        <f>(('Filter Weights'!EC22)/$Q22)*$R22*1000</f>
        <v>0</v>
      </c>
      <c r="BF22" s="18">
        <f>(('Filter Weights'!ED22)/$Q22)*$R22*1000</f>
        <v>0</v>
      </c>
      <c r="BG22" s="18">
        <f>(('Filter Weights'!EE22)/$Q22)*$R22*1000</f>
        <v>6.4859809023052269E-5</v>
      </c>
      <c r="BH22" s="18">
        <f>(('Filter Weights'!EF22)/$Q22)*$R22*1000</f>
        <v>0</v>
      </c>
      <c r="BI22" s="18">
        <f>(('Filter Weights'!EG22)/$Q22)*$R22*1000</f>
        <v>2.8883382934403583E-4</v>
      </c>
      <c r="BJ22" s="18">
        <f>(('Filter Weights'!EH22)/$Q22)*$R22*1000</f>
        <v>0</v>
      </c>
      <c r="BK22" s="18">
        <f>(('Filter Weights'!EI22)/$Q22)*$R22*1000</f>
        <v>0</v>
      </c>
      <c r="BL22" s="18">
        <f>(('Filter Weights'!EJ22)/$Q22)*$R22*1000</f>
        <v>0</v>
      </c>
      <c r="BM22" s="18">
        <f>(('Filter Weights'!EK22)/$Q22)*$R22*1000</f>
        <v>0</v>
      </c>
    </row>
    <row r="23" spans="1:65">
      <c r="A23" s="20">
        <f>IF(ISBLANK('Phase CEMS PM Concentrations'!A23),"",'Phase CEMS PM Concentrations'!A23)</f>
        <v>44348</v>
      </c>
      <c r="B23" s="20" t="str">
        <f>IF(ISBLANK('Phase CEMS PM Concentrations'!B23),"",'Phase CEMS PM Concentrations'!B23)</f>
        <v>BK Princess</v>
      </c>
      <c r="C23" s="20" t="str">
        <f>IF(ISBLANK('Phase CEMS PM Concentrations'!C23),"",'Phase CEMS PM Concentrations'!C23)</f>
        <v>Wet birch</v>
      </c>
      <c r="D23" s="20" t="str">
        <f>IF(ISBLANK('Phase CEMS PM Concentrations'!D23),"",'Phase CEMS PM Concentrations'!D23)</f>
        <v>Startup</v>
      </c>
      <c r="E23" s="23">
        <v>44348.375694444447</v>
      </c>
      <c r="F23" s="23">
        <v>44348.38958333333</v>
      </c>
      <c r="G23" s="80">
        <v>0.69689539951340562</v>
      </c>
      <c r="H23" s="80">
        <v>0.95778414744535767</v>
      </c>
      <c r="I23" s="80">
        <v>0.72761216749326507</v>
      </c>
      <c r="J23" s="81">
        <v>95033.840738957835</v>
      </c>
      <c r="K23" s="81">
        <v>136367.43879399041</v>
      </c>
      <c r="L23" s="9">
        <f>44*('Phase CEMS VOC Concentration'!J23-Backgrounds!J23)/ (0.082*('Phase Parameters'!$R23+273.15))</f>
        <v>4502.7500708178359</v>
      </c>
      <c r="M23" s="9">
        <f>28*('Phase CEMS VOC Concentration'!K23-Backgrounds!L23)/ (0.082*('Phase Parameters'!$R23+273.15))</f>
        <v>114.41721266589202</v>
      </c>
      <c r="N23" s="9">
        <f>16.01*('Phase CEMS VOC Concentration'!L23-Backgrounds!M23)/ (0.082*('Phase Parameters'!$R23+273.15))</f>
        <v>28.890481784606422</v>
      </c>
      <c r="O23" s="9">
        <f>16.01*('Phase CEMS VOC Concentration'!M23-Backgrounds!N23)/ (0.082*('Phase Parameters'!$R23+273.15))</f>
        <v>6.4869029696151781</v>
      </c>
      <c r="P23" s="9">
        <f>31.61*('Phase CEMS VOC Concentration'!N23-Backgrounds!O23)/ (0.082*('Phase Parameters'!$R23+273.15))</f>
        <v>3.0324104614044463</v>
      </c>
      <c r="Q23" s="9">
        <f t="shared" si="0"/>
        <v>1303.575160646622</v>
      </c>
      <c r="R23" s="2">
        <f t="shared" si="7"/>
        <v>0.52010000000000001</v>
      </c>
      <c r="S23" s="2">
        <f>(L23/'Emission Factors'!Q23)*R23*1000</f>
        <v>1796.5057808179595</v>
      </c>
      <c r="T23" s="2">
        <f t="shared" si="6"/>
        <v>45.650142856367445</v>
      </c>
      <c r="U23" s="2">
        <f t="shared" si="8"/>
        <v>11.526715167478622</v>
      </c>
      <c r="V23" s="2">
        <f t="shared" si="9"/>
        <v>2.5881424687651338</v>
      </c>
      <c r="W23" s="2">
        <f t="shared" si="10"/>
        <v>1.2098701544712802</v>
      </c>
      <c r="X23" s="2">
        <f>(('Phase CEMS PM Concentrations'!X23-Backgrounds!S23)/$Q23)*$R23*1000</f>
        <v>0.81866899805043114</v>
      </c>
      <c r="Y23" s="2">
        <f>(('Filter Weights'!CY23)/$Q23)*$R23*1000</f>
        <v>3.0729072460308626</v>
      </c>
      <c r="Z23" s="2">
        <f>(('Filter Weights'!EL23)/$Q23)*$R23*1000</f>
        <v>1.1906700670893013</v>
      </c>
      <c r="AA23" s="2">
        <f>(('Filter Weights'!EM23)/$Q23)*$R23*1000</f>
        <v>0.40903247014085459</v>
      </c>
      <c r="AB23" s="18">
        <f>(('Filter Weights'!CZ23)/$Q23)*$R23*1000</f>
        <v>0</v>
      </c>
      <c r="AC23" s="18">
        <f>(('Filter Weights'!DA23)/$Q23)*$R23*1000</f>
        <v>0</v>
      </c>
      <c r="AD23" s="18">
        <f>(('Filter Weights'!DB23)/$Q23)*$R23*1000</f>
        <v>0</v>
      </c>
      <c r="AE23" s="18">
        <f>(('Filter Weights'!DC23)/$Q23)*$R23*1000</f>
        <v>6.0230027108369494E-4</v>
      </c>
      <c r="AF23" s="18">
        <f>(('Filter Weights'!DD23)/$Q23)*$R23*1000</f>
        <v>4.6052780494511745E-5</v>
      </c>
      <c r="AG23" s="18">
        <f>(('Filter Weights'!DE23)/$Q23)*$R23*1000</f>
        <v>4.9742020693757808E-3</v>
      </c>
      <c r="AH23" s="18">
        <f>(('Filter Weights'!DF23)/$Q23)*$R23*1000</f>
        <v>6.1181839107864525E-3</v>
      </c>
      <c r="AI23" s="18">
        <f>(('Filter Weights'!DG23)/$Q23)*$R23*1000</f>
        <v>1.6467434449899187E-2</v>
      </c>
      <c r="AJ23" s="18">
        <f>(('Filter Weights'!DH23)/$Q23)*$R23*1000</f>
        <v>7.2498635736931659E-4</v>
      </c>
      <c r="AK23" s="18">
        <f>(('Filter Weights'!DI23)/$Q23)*$R23*1000</f>
        <v>0</v>
      </c>
      <c r="AL23" s="18">
        <f>(('Filter Weights'!DJ23)/$Q23)*$R23*1000</f>
        <v>0</v>
      </c>
      <c r="AM23" s="18">
        <f>(('Filter Weights'!DK23)/$Q23)*$R23*1000</f>
        <v>1.8294728754860187E-5</v>
      </c>
      <c r="AN23" s="18">
        <f>(('Filter Weights'!DL23)/$Q23)*$R23*1000</f>
        <v>0</v>
      </c>
      <c r="AO23" s="18">
        <f>(('Filter Weights'!DM23)/$Q23)*$R23*1000</f>
        <v>4.876268731346676E-4</v>
      </c>
      <c r="AP23" s="18">
        <f>(('Filter Weights'!DN23)/$Q23)*$R23*1000</f>
        <v>0</v>
      </c>
      <c r="AQ23" s="18">
        <f>(('Filter Weights'!DO23)/$Q23)*$R23*1000</f>
        <v>0</v>
      </c>
      <c r="AR23" s="18">
        <f>(('Filter Weights'!DP23)/$Q23)*$R23*1000</f>
        <v>0</v>
      </c>
      <c r="AS23" s="18">
        <f>(('Filter Weights'!DQ23)/$Q23)*$R23*1000</f>
        <v>1.89274112832853E-3</v>
      </c>
      <c r="AT23" s="18">
        <f>(('Filter Weights'!DR23)/$Q23)*$R23*1000</f>
        <v>0</v>
      </c>
      <c r="AU23" s="18">
        <f>(('Filter Weights'!DS23)/$Q23)*$R23*1000</f>
        <v>0</v>
      </c>
      <c r="AV23" s="18">
        <f>(('Filter Weights'!DT23)/$Q23)*$R23*1000</f>
        <v>0</v>
      </c>
      <c r="AW23" s="18">
        <f>(('Filter Weights'!DU23)/$Q23)*$R23*1000</f>
        <v>0</v>
      </c>
      <c r="AX23" s="18">
        <f>(('Filter Weights'!DV23)/$Q23)*$R23*1000</f>
        <v>0</v>
      </c>
      <c r="AY23" s="18">
        <f>(('Filter Weights'!DW23)/$Q23)*$R23*1000</f>
        <v>0</v>
      </c>
      <c r="AZ23" s="18">
        <f>(('Filter Weights'!DX23)/$Q23)*$R23*1000</f>
        <v>0</v>
      </c>
      <c r="BA23" s="18">
        <f>(('Filter Weights'!DY23)/$Q23)*$R23*1000</f>
        <v>9.3733517603212331E-5</v>
      </c>
      <c r="BB23" s="18">
        <f>(('Filter Weights'!DZ23)/$Q23)*$R23*1000</f>
        <v>0</v>
      </c>
      <c r="BC23" s="18">
        <f>(('Filter Weights'!EA23)/$Q23)*$R23*1000</f>
        <v>2.4291806985130404E-5</v>
      </c>
      <c r="BD23" s="18">
        <f>(('Filter Weights'!EB23)/$Q23)*$R23*1000</f>
        <v>0</v>
      </c>
      <c r="BE23" s="18">
        <f>(('Filter Weights'!EC23)/$Q23)*$R23*1000</f>
        <v>0</v>
      </c>
      <c r="BF23" s="18">
        <f>(('Filter Weights'!ED23)/$Q23)*$R23*1000</f>
        <v>8.1715834937954614E-4</v>
      </c>
      <c r="BG23" s="18">
        <f>(('Filter Weights'!EE23)/$Q23)*$R23*1000</f>
        <v>1.2985075006596979E-3</v>
      </c>
      <c r="BH23" s="18">
        <f>(('Filter Weights'!EF23)/$Q23)*$R23*1000</f>
        <v>0</v>
      </c>
      <c r="BI23" s="18">
        <f>(('Filter Weights'!EG23)/$Q23)*$R23*1000</f>
        <v>0</v>
      </c>
      <c r="BJ23" s="18">
        <f>(('Filter Weights'!EH23)/$Q23)*$R23*1000</f>
        <v>0</v>
      </c>
      <c r="BK23" s="18">
        <f>(('Filter Weights'!EI23)/$Q23)*$R23*1000</f>
        <v>0</v>
      </c>
      <c r="BL23" s="18">
        <f>(('Filter Weights'!EJ23)/$Q23)*$R23*1000</f>
        <v>0</v>
      </c>
      <c r="BM23" s="18">
        <f>(('Filter Weights'!EK23)/$Q23)*$R23*1000</f>
        <v>0</v>
      </c>
    </row>
    <row r="24" spans="1:65">
      <c r="A24" s="20">
        <f>IF(ISBLANK('Phase CEMS PM Concentrations'!A24),"",'Phase CEMS PM Concentrations'!A24)</f>
        <v>44348</v>
      </c>
      <c r="B24" s="20" t="str">
        <f>IF(ISBLANK('Phase CEMS PM Concentrations'!B24),"",'Phase CEMS PM Concentrations'!B24)</f>
        <v>BK Princess</v>
      </c>
      <c r="C24" s="20" t="str">
        <f>IF(ISBLANK('Phase CEMS PM Concentrations'!C24),"",'Phase CEMS PM Concentrations'!C24)</f>
        <v>Wet birch</v>
      </c>
      <c r="D24" s="20" t="str">
        <f>IF(ISBLANK('Phase CEMS PM Concentrations'!D24),"",'Phase CEMS PM Concentrations'!D24)</f>
        <v>High</v>
      </c>
      <c r="E24" s="23">
        <v>44348.390972222223</v>
      </c>
      <c r="F24" s="23">
        <v>44348.540972222225</v>
      </c>
      <c r="G24" s="80">
        <v>0.78127568564913563</v>
      </c>
      <c r="H24" s="80">
        <v>0.98442641338418235</v>
      </c>
      <c r="I24" s="80">
        <v>0.79363543585073926</v>
      </c>
      <c r="J24" s="81">
        <v>43631.34635795014</v>
      </c>
      <c r="K24" s="81">
        <v>55846.287244557374</v>
      </c>
      <c r="L24" s="9">
        <f>44*('Phase CEMS VOC Concentration'!J24-Backgrounds!J24)/ (0.082*('Phase Parameters'!$R24+273.15))</f>
        <v>1868.4471218758974</v>
      </c>
      <c r="M24" s="9">
        <f>28*('Phase CEMS VOC Concentration'!K24-Backgrounds!L24)/ (0.082*('Phase Parameters'!$R24+273.15))</f>
        <v>28.071651176351427</v>
      </c>
      <c r="N24" s="9">
        <f>16.01*('Phase CEMS VOC Concentration'!L24-Backgrounds!M24)/ (0.082*('Phase Parameters'!$R24+273.15))</f>
        <v>19.153462243884398</v>
      </c>
      <c r="O24" s="9">
        <f>16.01*('Phase CEMS VOC Concentration'!M24-Backgrounds!N24)/ (0.082*('Phase Parameters'!$R24+273.15))</f>
        <v>7.4040122761594409</v>
      </c>
      <c r="P24" s="9">
        <f>31.61*('Phase CEMS VOC Concentration'!N24-Backgrounds!O24)/ (0.082*('Phase Parameters'!$R24+273.15))</f>
        <v>1.4984828352845301</v>
      </c>
      <c r="Q24" s="9">
        <f t="shared" si="0"/>
        <v>541.5128602808453</v>
      </c>
      <c r="R24" s="2">
        <f t="shared" si="7"/>
        <v>0.52010000000000001</v>
      </c>
      <c r="S24" s="2">
        <f>(L24/'Emission Factors'!Q24)*R24*1000</f>
        <v>1794.5637479111015</v>
      </c>
      <c r="T24" s="2">
        <f t="shared" si="6"/>
        <v>26.961623347686206</v>
      </c>
      <c r="U24" s="2">
        <f t="shared" si="8"/>
        <v>18.396083350408006</v>
      </c>
      <c r="V24" s="2">
        <f t="shared" si="9"/>
        <v>7.1112379174769131</v>
      </c>
      <c r="W24" s="2">
        <f t="shared" si="10"/>
        <v>1.4392288342464914</v>
      </c>
      <c r="X24" s="2">
        <f>(('Phase CEMS PM Concentrations'!X24-Backgrounds!S24)/$Q24)*$R24*1000</f>
        <v>0.35186114444480865</v>
      </c>
      <c r="Y24" s="2">
        <f>(('Filter Weights'!CY24)/$Q24)*$R24*1000</f>
        <v>2.5709549079201568</v>
      </c>
      <c r="Z24" s="2">
        <f>(('Filter Weights'!EL24)/$Q24)*$R24*1000</f>
        <v>1.047587175794116</v>
      </c>
      <c r="AA24" s="2">
        <f>(('Filter Weights'!EM24)/$Q24)*$R24*1000</f>
        <v>0.18615768441390929</v>
      </c>
      <c r="AB24" s="18">
        <f>(('Filter Weights'!CZ24)/$Q24)*$R24*1000</f>
        <v>0</v>
      </c>
      <c r="AC24" s="18">
        <f>(('Filter Weights'!DA24)/$Q24)*$R24*1000</f>
        <v>0</v>
      </c>
      <c r="AD24" s="18">
        <f>(('Filter Weights'!DB24)/$Q24)*$R24*1000</f>
        <v>0</v>
      </c>
      <c r="AE24" s="18">
        <f>(('Filter Weights'!DC24)/$Q24)*$R24*1000</f>
        <v>0</v>
      </c>
      <c r="AF24" s="18">
        <f>(('Filter Weights'!DD24)/$Q24)*$R24*1000</f>
        <v>0</v>
      </c>
      <c r="AG24" s="18">
        <f>(('Filter Weights'!DE24)/$Q24)*$R24*1000</f>
        <v>7.3186691682750942E-3</v>
      </c>
      <c r="AH24" s="18">
        <f>(('Filter Weights'!DF24)/$Q24)*$R24*1000</f>
        <v>7.9489378605252757E-3</v>
      </c>
      <c r="AI24" s="18">
        <f>(('Filter Weights'!DG24)/$Q24)*$R24*1000</f>
        <v>1.1929757650341379E-2</v>
      </c>
      <c r="AJ24" s="18">
        <f>(('Filter Weights'!DH24)/$Q24)*$R24*1000</f>
        <v>0</v>
      </c>
      <c r="AK24" s="18">
        <f>(('Filter Weights'!DI24)/$Q24)*$R24*1000</f>
        <v>0</v>
      </c>
      <c r="AL24" s="18">
        <f>(('Filter Weights'!DJ24)/$Q24)*$R24*1000</f>
        <v>0</v>
      </c>
      <c r="AM24" s="18">
        <f>(('Filter Weights'!DK24)/$Q24)*$R24*1000</f>
        <v>2.3540524572829299E-4</v>
      </c>
      <c r="AN24" s="18">
        <f>(('Filter Weights'!DL24)/$Q24)*$R24*1000</f>
        <v>0</v>
      </c>
      <c r="AO24" s="18">
        <f>(('Filter Weights'!DM24)/$Q24)*$R24*1000</f>
        <v>0</v>
      </c>
      <c r="AP24" s="18">
        <f>(('Filter Weights'!DN24)/$Q24)*$R24*1000</f>
        <v>0</v>
      </c>
      <c r="AQ24" s="18">
        <f>(('Filter Weights'!DO24)/$Q24)*$R24*1000</f>
        <v>0</v>
      </c>
      <c r="AR24" s="18">
        <f>(('Filter Weights'!DP24)/$Q24)*$R24*1000</f>
        <v>0</v>
      </c>
      <c r="AS24" s="18">
        <f>(('Filter Weights'!DQ24)/$Q24)*$R24*1000</f>
        <v>2.5405126154431287E-3</v>
      </c>
      <c r="AT24" s="18">
        <f>(('Filter Weights'!DR24)/$Q24)*$R24*1000</f>
        <v>0</v>
      </c>
      <c r="AU24" s="18">
        <f>(('Filter Weights'!DS24)/$Q24)*$R24*1000</f>
        <v>0</v>
      </c>
      <c r="AV24" s="18">
        <f>(('Filter Weights'!DT24)/$Q24)*$R24*1000</f>
        <v>0</v>
      </c>
      <c r="AW24" s="18">
        <f>(('Filter Weights'!DU24)/$Q24)*$R24*1000</f>
        <v>0</v>
      </c>
      <c r="AX24" s="18">
        <f>(('Filter Weights'!DV24)/$Q24)*$R24*1000</f>
        <v>2.3060912694328412E-5</v>
      </c>
      <c r="AY24" s="18">
        <f>(('Filter Weights'!DW24)/$Q24)*$R24*1000</f>
        <v>4.4592697488613838E-5</v>
      </c>
      <c r="AZ24" s="18">
        <f>(('Filter Weights'!DX24)/$Q24)*$R24*1000</f>
        <v>0</v>
      </c>
      <c r="BA24" s="18">
        <f>(('Filter Weights'!DY24)/$Q24)*$R24*1000</f>
        <v>0</v>
      </c>
      <c r="BB24" s="18">
        <f>(('Filter Weights'!DZ24)/$Q24)*$R24*1000</f>
        <v>0</v>
      </c>
      <c r="BC24" s="18">
        <f>(('Filter Weights'!EA24)/$Q24)*$R24*1000</f>
        <v>0</v>
      </c>
      <c r="BD24" s="18">
        <f>(('Filter Weights'!EB24)/$Q24)*$R24*1000</f>
        <v>0</v>
      </c>
      <c r="BE24" s="18">
        <f>(('Filter Weights'!EC24)/$Q24)*$R24*1000</f>
        <v>0</v>
      </c>
      <c r="BF24" s="18">
        <f>(('Filter Weights'!ED24)/$Q24)*$R24*1000</f>
        <v>0</v>
      </c>
      <c r="BG24" s="18">
        <f>(('Filter Weights'!EE24)/$Q24)*$R24*1000</f>
        <v>0</v>
      </c>
      <c r="BH24" s="18">
        <f>(('Filter Weights'!EF24)/$Q24)*$R24*1000</f>
        <v>0</v>
      </c>
      <c r="BI24" s="18">
        <f>(('Filter Weights'!EG24)/$Q24)*$R24*1000</f>
        <v>0</v>
      </c>
      <c r="BJ24" s="18">
        <f>(('Filter Weights'!EH24)/$Q24)*$R24*1000</f>
        <v>6.143882765097906E-5</v>
      </c>
      <c r="BK24" s="18">
        <f>(('Filter Weights'!EI24)/$Q24)*$R24*1000</f>
        <v>4.155028154425756E-5</v>
      </c>
      <c r="BL24" s="18">
        <f>(('Filter Weights'!EJ24)/$Q24)*$R24*1000</f>
        <v>0</v>
      </c>
      <c r="BM24" s="18">
        <f>(('Filter Weights'!EK24)/$Q24)*$R24*1000</f>
        <v>2.0110229033330603E-5</v>
      </c>
    </row>
    <row r="25" spans="1:65">
      <c r="A25" s="20"/>
      <c r="B25" s="20"/>
      <c r="C25" s="20"/>
      <c r="D25" s="20"/>
      <c r="E25" s="23"/>
      <c r="F25" s="23"/>
      <c r="G25" s="9"/>
      <c r="H25" s="9"/>
      <c r="I25" s="9"/>
      <c r="J25" s="9"/>
      <c r="K25" s="9"/>
      <c r="L25" s="9"/>
      <c r="M25" s="9"/>
      <c r="N25" s="9"/>
      <c r="O25" s="9"/>
      <c r="P25" s="9"/>
      <c r="Q25" s="9"/>
      <c r="S25" s="6"/>
      <c r="T25" s="6"/>
      <c r="U25" s="6"/>
      <c r="V25" s="24"/>
      <c r="W25" s="25"/>
      <c r="X25" s="25"/>
      <c r="AD25" s="80"/>
      <c r="AE25" s="23"/>
      <c r="AF25" s="23"/>
      <c r="AG25" s="23"/>
      <c r="AH25" s="23"/>
    </row>
    <row r="26" spans="1:65">
      <c r="A26" s="20"/>
      <c r="B26" s="20"/>
      <c r="C26" s="20"/>
      <c r="D26" s="20"/>
      <c r="E26" s="23"/>
      <c r="F26" s="23"/>
      <c r="G26" s="9"/>
      <c r="H26" s="9"/>
      <c r="I26" s="9"/>
      <c r="J26" s="9"/>
      <c r="K26" s="9"/>
      <c r="L26" s="9"/>
      <c r="M26" s="9"/>
      <c r="N26" s="9"/>
      <c r="O26" s="9"/>
      <c r="P26" s="9"/>
      <c r="Q26" t="s">
        <v>598</v>
      </c>
      <c r="R26" s="2">
        <f>[2]Sheet1!$T$5</f>
        <v>46.76</v>
      </c>
      <c r="S26" s="6"/>
      <c r="T26" s="6"/>
      <c r="U26" s="6"/>
      <c r="V26" s="24"/>
      <c r="W26" s="25"/>
      <c r="X26" s="25"/>
      <c r="AD26" s="80"/>
      <c r="AE26" s="23"/>
      <c r="AF26" s="23"/>
      <c r="AG26" s="23"/>
      <c r="AH26" s="23"/>
    </row>
    <row r="27" spans="1:65">
      <c r="A27" s="20"/>
      <c r="B27" s="20"/>
      <c r="C27" s="20"/>
      <c r="D27" s="20"/>
      <c r="E27" s="23"/>
      <c r="F27" s="23"/>
      <c r="G27" s="9"/>
      <c r="H27" s="9"/>
      <c r="I27" s="9"/>
      <c r="J27" s="9"/>
      <c r="K27" s="9"/>
      <c r="L27" s="9"/>
      <c r="M27" s="9"/>
      <c r="N27" s="9"/>
      <c r="O27" s="9"/>
      <c r="P27" s="9"/>
      <c r="Q27" t="s">
        <v>599</v>
      </c>
      <c r="R27" s="2">
        <f>[2]Sheet1!$U$5</f>
        <v>51.91</v>
      </c>
      <c r="S27" s="6"/>
      <c r="T27" s="6"/>
      <c r="U27" s="6"/>
      <c r="V27" s="24"/>
      <c r="W27" s="25"/>
      <c r="X27" s="25"/>
      <c r="AD27" s="80"/>
      <c r="AE27" s="23"/>
      <c r="AF27" s="23"/>
      <c r="AG27" s="23"/>
      <c r="AH27" s="23"/>
    </row>
    <row r="28" spans="1:65">
      <c r="A28" s="20"/>
      <c r="B28" s="20"/>
      <c r="C28" s="20"/>
      <c r="D28" s="20"/>
      <c r="E28" s="23"/>
      <c r="F28" s="23"/>
      <c r="G28" s="9"/>
      <c r="H28" s="9"/>
      <c r="I28" s="9"/>
      <c r="J28" s="9"/>
      <c r="K28" s="9"/>
      <c r="L28" s="9"/>
      <c r="M28" s="9"/>
      <c r="N28" s="9"/>
      <c r="O28" s="9"/>
      <c r="P28" s="9"/>
      <c r="Q28" s="9" t="s">
        <v>600</v>
      </c>
      <c r="R28" s="2">
        <f>[2]Sheet1!$T$4</f>
        <v>47.56</v>
      </c>
      <c r="S28" s="6"/>
      <c r="T28" s="6"/>
      <c r="U28" s="6"/>
      <c r="V28" s="24"/>
      <c r="W28" s="25"/>
      <c r="X28" s="25"/>
      <c r="AD28" s="23"/>
      <c r="AE28" s="23"/>
      <c r="AF28" s="23"/>
      <c r="AG28" s="23"/>
      <c r="AH28" s="23"/>
    </row>
    <row r="29" spans="1:65">
      <c r="A29" s="20"/>
      <c r="B29" s="20"/>
      <c r="C29" s="20"/>
      <c r="D29" s="20"/>
      <c r="E29" s="23"/>
      <c r="F29" s="23"/>
      <c r="G29" s="9"/>
      <c r="H29" s="9"/>
      <c r="I29" s="9"/>
      <c r="J29" s="9"/>
      <c r="K29" s="9"/>
      <c r="L29" s="9"/>
      <c r="M29" s="9"/>
      <c r="N29" s="9"/>
      <c r="O29" s="9"/>
      <c r="P29" s="9"/>
      <c r="Q29" s="9" t="s">
        <v>601</v>
      </c>
      <c r="R29" s="2">
        <f>[2]Sheet1!$U$4</f>
        <v>52.01</v>
      </c>
      <c r="S29" s="6"/>
      <c r="T29" s="6"/>
      <c r="U29" s="6"/>
      <c r="V29" s="24"/>
      <c r="W29" s="25"/>
      <c r="X29" s="25"/>
      <c r="AD29" s="23"/>
      <c r="AE29" s="23"/>
      <c r="AF29" s="23"/>
      <c r="AG29" s="23"/>
      <c r="AH29" s="23"/>
    </row>
    <row r="30" spans="1:65">
      <c r="A30" s="20"/>
      <c r="B30" s="20"/>
      <c r="C30" s="20"/>
      <c r="D30" s="20"/>
      <c r="E30" s="23"/>
      <c r="F30" s="23"/>
      <c r="G30" s="9"/>
      <c r="H30" s="9"/>
      <c r="I30" s="9"/>
      <c r="J30" s="9"/>
      <c r="K30" s="9"/>
      <c r="L30" s="9"/>
      <c r="M30" s="9"/>
      <c r="N30" s="9"/>
      <c r="O30" s="9"/>
      <c r="P30" s="9"/>
      <c r="Q30" s="9"/>
      <c r="S30" s="6"/>
      <c r="T30" s="6"/>
      <c r="U30" s="6"/>
      <c r="V30" s="24"/>
      <c r="W30" s="25"/>
      <c r="X30" s="25"/>
      <c r="AD30" s="23"/>
      <c r="AE30" s="23"/>
      <c r="AF30" s="23"/>
      <c r="AG30" s="23"/>
      <c r="AH30" s="23"/>
    </row>
    <row r="31" spans="1:65" ht="60">
      <c r="A31" s="20"/>
      <c r="B31" s="20"/>
      <c r="C31" s="51" t="str">
        <f t="shared" ref="C31:D31" si="11">C1</f>
        <v>Fuel</v>
      </c>
      <c r="D31" s="51" t="str">
        <f t="shared" si="11"/>
        <v>Phase</v>
      </c>
      <c r="F31" s="22"/>
      <c r="G31" s="51" t="str">
        <f t="shared" ref="G31:AB31" si="12">G1</f>
        <v>Overall Efficiency* (HHV basis)</v>
      </c>
      <c r="H31" s="51" t="str">
        <f t="shared" si="12"/>
        <v>Combustion Efficiency* (HHV basis)</v>
      </c>
      <c r="I31" s="51" t="str">
        <f t="shared" si="12"/>
        <v>Heat Transfer Efficiency* (HHV basis)</v>
      </c>
      <c r="J31" s="51" t="str">
        <f t="shared" si="12"/>
        <v>Output Rate* (kJ/hr)</v>
      </c>
      <c r="K31" s="51" t="str">
        <f t="shared" si="12"/>
        <v>Input Rate* (kJ/hr)</v>
      </c>
      <c r="L31" s="51" t="str">
        <f t="shared" si="12"/>
        <v>10" CO2 (mg/m3)</v>
      </c>
      <c r="M31" s="51" t="str">
        <f t="shared" si="12"/>
        <v>10" CO (mg/m3)</v>
      </c>
      <c r="N31" s="51" t="str">
        <f t="shared" si="12"/>
        <v>10" THC (mg/m3)</v>
      </c>
      <c r="O31" s="51" t="str">
        <f t="shared" si="12"/>
        <v>10" CH4 (mg/m3)</v>
      </c>
      <c r="P31" s="51" t="str">
        <f t="shared" si="12"/>
        <v>10" NOx (mg/m3)</v>
      </c>
      <c r="Q31" s="51" t="str">
        <f t="shared" si="12"/>
        <v>10" Carbon (mg/m3)</v>
      </c>
      <c r="R31" s="51" t="str">
        <f t="shared" si="12"/>
        <v>Fuel Carbon Fraction</v>
      </c>
      <c r="S31" s="51" t="str">
        <f t="shared" si="12"/>
        <v>Carbon Balance - CO2 (g/kg)</v>
      </c>
      <c r="T31" s="51" t="str">
        <f t="shared" si="12"/>
        <v>Carbon Balance - CO (g/kg)</v>
      </c>
      <c r="U31" s="51" t="str">
        <f t="shared" si="12"/>
        <v>THC (g/kg)</v>
      </c>
      <c r="V31" s="51" t="str">
        <f t="shared" si="12"/>
        <v>CH4 (g/kg)</v>
      </c>
      <c r="W31" s="51" t="str">
        <f t="shared" si="12"/>
        <v>NOx (g/kg)</v>
      </c>
      <c r="X31" s="51" t="str">
        <f t="shared" si="12"/>
        <v>BC (g/kg)</v>
      </c>
      <c r="Y31" s="51" t="str">
        <f t="shared" si="12"/>
        <v>PM (g/kg)</v>
      </c>
      <c r="Z31" s="51" t="str">
        <f t="shared" si="12"/>
        <v>OC (g/kg)</v>
      </c>
      <c r="AA31" s="51" t="str">
        <f t="shared" si="12"/>
        <v>EC (g/kg)</v>
      </c>
      <c r="AB31" s="51" t="str">
        <f t="shared" si="12"/>
        <v>Na (g/kg)</v>
      </c>
      <c r="AC31" s="51" t="str">
        <f t="shared" ref="AC31:BM31" si="13">AC1</f>
        <v>Mg (g/kg)</v>
      </c>
      <c r="AD31" s="51" t="str">
        <f t="shared" si="13"/>
        <v>Al (g/kg)</v>
      </c>
      <c r="AE31" s="51" t="str">
        <f t="shared" si="13"/>
        <v>Si (g/kg)</v>
      </c>
      <c r="AF31" s="51" t="str">
        <f t="shared" si="13"/>
        <v>P (g/kg)</v>
      </c>
      <c r="AG31" s="51" t="str">
        <f t="shared" si="13"/>
        <v>S (g/kg)</v>
      </c>
      <c r="AH31" s="51" t="str">
        <f t="shared" si="13"/>
        <v>Cl (g/kg)</v>
      </c>
      <c r="AI31" s="51" t="str">
        <f t="shared" si="13"/>
        <v>K (g/kg)</v>
      </c>
      <c r="AJ31" s="51" t="str">
        <f t="shared" si="13"/>
        <v>Ca (g/kg)</v>
      </c>
      <c r="AK31" s="51" t="str">
        <f t="shared" si="13"/>
        <v>Ti  (g/kg)</v>
      </c>
      <c r="AL31" s="51" t="str">
        <f t="shared" si="13"/>
        <v>V  (g/kg)</v>
      </c>
      <c r="AM31" s="51" t="str">
        <f t="shared" si="13"/>
        <v>Cr  (g/kg)</v>
      </c>
      <c r="AN31" s="51" t="str">
        <f t="shared" si="13"/>
        <v>Mn  (g/kg)</v>
      </c>
      <c r="AO31" s="51" t="str">
        <f t="shared" si="13"/>
        <v>Fe (g/kg)</v>
      </c>
      <c r="AP31" s="51" t="str">
        <f t="shared" si="13"/>
        <v>Co (g/kg)</v>
      </c>
      <c r="AQ31" s="51" t="str">
        <f t="shared" si="13"/>
        <v>Ni (g/kg)</v>
      </c>
      <c r="AR31" s="51" t="str">
        <f t="shared" si="13"/>
        <v>Cu (g/kg)</v>
      </c>
      <c r="AS31" s="51" t="str">
        <f t="shared" si="13"/>
        <v>Zn (g/kg)</v>
      </c>
      <c r="AT31" s="51" t="str">
        <f t="shared" si="13"/>
        <v>Ga (g/kg)</v>
      </c>
      <c r="AU31" s="51" t="str">
        <f t="shared" si="13"/>
        <v>Ge (g/kg)</v>
      </c>
      <c r="AV31" s="51" t="str">
        <f t="shared" si="13"/>
        <v>As (g/kg)</v>
      </c>
      <c r="AW31" s="51" t="str">
        <f t="shared" si="13"/>
        <v>Se (g/kg)</v>
      </c>
      <c r="AX31" s="51" t="str">
        <f t="shared" si="13"/>
        <v>Br (g/kg)</v>
      </c>
      <c r="AY31" s="51" t="str">
        <f t="shared" si="13"/>
        <v>Rb (g/kg)</v>
      </c>
      <c r="AZ31" s="51" t="str">
        <f t="shared" si="13"/>
        <v>Sr (g/kg)</v>
      </c>
      <c r="BA31" s="51" t="str">
        <f t="shared" si="13"/>
        <v>Y (g/kg)</v>
      </c>
      <c r="BB31" s="51" t="str">
        <f t="shared" si="13"/>
        <v>Zr (g/kg)</v>
      </c>
      <c r="BC31" s="51" t="str">
        <f t="shared" si="13"/>
        <v>Mo (g/kg)</v>
      </c>
      <c r="BD31" s="51" t="str">
        <f t="shared" si="13"/>
        <v>Pd (g/kg)</v>
      </c>
      <c r="BE31" s="51" t="str">
        <f t="shared" si="13"/>
        <v>Ag (g/kg)</v>
      </c>
      <c r="BF31" s="51" t="str">
        <f t="shared" si="13"/>
        <v>Cd (g/kg)</v>
      </c>
      <c r="BG31" s="51" t="str">
        <f t="shared" si="13"/>
        <v>In (g/kg)</v>
      </c>
      <c r="BH31" s="51" t="str">
        <f t="shared" si="13"/>
        <v>Sn (g/kg)</v>
      </c>
      <c r="BI31" s="51" t="str">
        <f t="shared" si="13"/>
        <v>Sb (g/kg)</v>
      </c>
      <c r="BJ31" s="51" t="str">
        <f t="shared" si="13"/>
        <v>Ba (g/kg)</v>
      </c>
      <c r="BK31" s="51" t="str">
        <f t="shared" si="13"/>
        <v>La (g/kg)</v>
      </c>
      <c r="BL31" s="51" t="str">
        <f t="shared" si="13"/>
        <v>Hg (g/kg)</v>
      </c>
      <c r="BM31" s="51" t="str">
        <f t="shared" si="13"/>
        <v>Pb (g/kg)</v>
      </c>
    </row>
    <row r="32" spans="1:65">
      <c r="A32" s="20"/>
      <c r="B32" s="20"/>
      <c r="C32" s="20" t="s">
        <v>500</v>
      </c>
      <c r="D32" s="20" t="s">
        <v>501</v>
      </c>
      <c r="E32" s="23"/>
      <c r="F32" s="23" t="s">
        <v>502</v>
      </c>
      <c r="G32" s="80">
        <f t="shared" ref="G32:BI32" si="14">AVERAGE(G3,G5,G7,G9,G11,G13)</f>
        <v>0.6730665015282723</v>
      </c>
      <c r="H32" s="80">
        <f t="shared" si="14"/>
        <v>0.93413252531936875</v>
      </c>
      <c r="I32" s="80">
        <f t="shared" si="14"/>
        <v>0.72051079063191625</v>
      </c>
      <c r="J32" s="81">
        <f t="shared" si="14"/>
        <v>69385.031368190117</v>
      </c>
      <c r="K32" s="81">
        <f t="shared" si="14"/>
        <v>103113.61898646706</v>
      </c>
      <c r="L32" s="9">
        <f t="shared" si="14"/>
        <v>3324.4840799674034</v>
      </c>
      <c r="M32" s="9">
        <f t="shared" si="14"/>
        <v>143.64549746232365</v>
      </c>
      <c r="N32" s="9">
        <f t="shared" si="14"/>
        <v>53.066778620238289</v>
      </c>
      <c r="O32" s="9">
        <f t="shared" si="14"/>
        <v>9.8606943562976177</v>
      </c>
      <c r="P32" s="9">
        <f t="shared" si="14"/>
        <v>2.2123205399056807</v>
      </c>
      <c r="Q32" s="9">
        <f t="shared" si="14"/>
        <v>1014.174141404771</v>
      </c>
      <c r="R32" s="2">
        <f t="shared" si="14"/>
        <v>0.51910000000000001</v>
      </c>
      <c r="S32" s="2">
        <f t="shared" si="14"/>
        <v>1699.3934096794928</v>
      </c>
      <c r="T32" s="2">
        <f t="shared" si="14"/>
        <v>73.628335868504664</v>
      </c>
      <c r="U32" s="2">
        <f t="shared" si="14"/>
        <v>27.81364823048877</v>
      </c>
      <c r="V32" s="2">
        <f t="shared" si="14"/>
        <v>4.3051721615573122</v>
      </c>
      <c r="W32" s="2">
        <f t="shared" si="14"/>
        <v>1.1335479680870975</v>
      </c>
      <c r="X32" s="2">
        <f t="shared" si="14"/>
        <v>0.65828483320612385</v>
      </c>
      <c r="Y32" s="2">
        <f t="shared" si="14"/>
        <v>12.620156716975814</v>
      </c>
      <c r="Z32" s="2">
        <f t="shared" si="14"/>
        <v>6.7605263791393284</v>
      </c>
      <c r="AA32" s="2">
        <f t="shared" si="14"/>
        <v>0.42497737228215743</v>
      </c>
      <c r="AB32" s="18">
        <f t="shared" si="14"/>
        <v>4.2946960900360131E-3</v>
      </c>
      <c r="AC32" s="18">
        <f t="shared" si="14"/>
        <v>7.9228524220351527E-4</v>
      </c>
      <c r="AD32" s="18">
        <f t="shared" si="14"/>
        <v>0</v>
      </c>
      <c r="AE32" s="18">
        <f t="shared" si="14"/>
        <v>1.1563879047151537E-3</v>
      </c>
      <c r="AF32" s="18">
        <f t="shared" si="14"/>
        <v>3.980019376073164E-5</v>
      </c>
      <c r="AG32" s="18">
        <f t="shared" si="14"/>
        <v>1.5577676999126452E-2</v>
      </c>
      <c r="AH32" s="18">
        <f t="shared" si="14"/>
        <v>1.592827506208656E-2</v>
      </c>
      <c r="AI32" s="18">
        <f t="shared" si="14"/>
        <v>1.836390214829663E-2</v>
      </c>
      <c r="AJ32" s="18">
        <f t="shared" si="14"/>
        <v>3.8461932094569079E-3</v>
      </c>
      <c r="AK32" s="18">
        <f t="shared" si="14"/>
        <v>2.6927686323624137E-4</v>
      </c>
      <c r="AL32" s="18">
        <f t="shared" si="14"/>
        <v>4.4455970481953196E-5</v>
      </c>
      <c r="AM32" s="18">
        <f t="shared" si="14"/>
        <v>0</v>
      </c>
      <c r="AN32" s="18">
        <f t="shared" si="14"/>
        <v>1.1300489197355528E-4</v>
      </c>
      <c r="AO32" s="18">
        <f t="shared" si="14"/>
        <v>3.0422341008154701E-4</v>
      </c>
      <c r="AP32" s="18">
        <f t="shared" si="14"/>
        <v>2.6026752071320044E-5</v>
      </c>
      <c r="AQ32" s="18">
        <f t="shared" si="14"/>
        <v>8.0265167853677363E-6</v>
      </c>
      <c r="AR32" s="18">
        <f t="shared" si="14"/>
        <v>1.617756776823179E-5</v>
      </c>
      <c r="AS32" s="18">
        <f t="shared" si="14"/>
        <v>2.9637048129816435E-3</v>
      </c>
      <c r="AT32" s="18">
        <f t="shared" si="14"/>
        <v>9.6068606465284851E-6</v>
      </c>
      <c r="AU32" s="18">
        <f t="shared" si="14"/>
        <v>1.2301962425914911E-5</v>
      </c>
      <c r="AV32" s="18">
        <f t="shared" si="14"/>
        <v>1.3260342261618967E-5</v>
      </c>
      <c r="AW32" s="18">
        <f t="shared" si="14"/>
        <v>2.4281790080062684E-5</v>
      </c>
      <c r="AX32" s="18">
        <f t="shared" si="14"/>
        <v>6.6369492726229583E-5</v>
      </c>
      <c r="AY32" s="18">
        <f t="shared" si="14"/>
        <v>3.8832274585671438E-5</v>
      </c>
      <c r="AZ32" s="18">
        <f t="shared" si="14"/>
        <v>2.4622681221876644E-5</v>
      </c>
      <c r="BA32" s="18">
        <f t="shared" si="14"/>
        <v>7.4386684622953207E-5</v>
      </c>
      <c r="BB32" s="18">
        <f t="shared" si="14"/>
        <v>7.5958125689134712E-5</v>
      </c>
      <c r="BC32" s="18">
        <f t="shared" si="14"/>
        <v>3.6853864905114326E-5</v>
      </c>
      <c r="BD32" s="18">
        <f t="shared" si="14"/>
        <v>1.016656193730026E-4</v>
      </c>
      <c r="BE32" s="18">
        <f t="shared" si="14"/>
        <v>1.8411559159180166E-4</v>
      </c>
      <c r="BF32" s="18">
        <f t="shared" si="14"/>
        <v>4.2959904602518379E-4</v>
      </c>
      <c r="BG32" s="18">
        <f t="shared" si="14"/>
        <v>2.3372916367433422E-4</v>
      </c>
      <c r="BH32" s="18">
        <f t="shared" si="14"/>
        <v>3.3196445262139378E-4</v>
      </c>
      <c r="BI32" s="18">
        <f t="shared" si="14"/>
        <v>0</v>
      </c>
      <c r="BJ32" s="18">
        <f t="shared" ref="BJ32:BM32" si="15">AVERAGE(BJ3,BJ5,BJ7,BJ9,BJ11,BJ13)</f>
        <v>3.7085152317677545E-4</v>
      </c>
      <c r="BK32" s="18">
        <f t="shared" si="15"/>
        <v>2.9523370865597293E-4</v>
      </c>
      <c r="BL32" s="18">
        <f t="shared" si="15"/>
        <v>5.7052115285689397E-5</v>
      </c>
      <c r="BM32" s="18">
        <f t="shared" si="15"/>
        <v>1.5814676472341847E-4</v>
      </c>
    </row>
    <row r="33" spans="1:65">
      <c r="A33" s="20"/>
      <c r="B33" s="20"/>
      <c r="C33" s="20"/>
      <c r="D33" s="20"/>
      <c r="E33" s="23"/>
      <c r="F33" s="23" t="s">
        <v>503</v>
      </c>
      <c r="G33" s="80">
        <f t="shared" ref="G33:BI33" si="16">STDEV(G3,G5,G7,G9,G11,G13)</f>
        <v>3.2997076386939807E-2</v>
      </c>
      <c r="H33" s="80">
        <f t="shared" si="16"/>
        <v>2.8416308771643151E-3</v>
      </c>
      <c r="I33" s="80">
        <f t="shared" si="16"/>
        <v>3.4946632142342775E-2</v>
      </c>
      <c r="J33" s="81">
        <f t="shared" si="16"/>
        <v>13367.586638830682</v>
      </c>
      <c r="K33" s="81">
        <f t="shared" si="16"/>
        <v>18861.552155651811</v>
      </c>
      <c r="L33" s="9">
        <f t="shared" si="16"/>
        <v>572.70686485365673</v>
      </c>
      <c r="M33" s="9">
        <f t="shared" si="16"/>
        <v>25.04447961300599</v>
      </c>
      <c r="N33" s="9">
        <f t="shared" si="16"/>
        <v>8.792822115460563</v>
      </c>
      <c r="O33" s="9">
        <f t="shared" si="16"/>
        <v>0.91917136153154244</v>
      </c>
      <c r="P33" s="9">
        <f t="shared" si="16"/>
        <v>0.48968073858912264</v>
      </c>
      <c r="Q33" s="9">
        <f t="shared" si="16"/>
        <v>163.64438564221703</v>
      </c>
      <c r="R33" s="2">
        <f t="shared" si="16"/>
        <v>0</v>
      </c>
      <c r="S33" s="2">
        <f t="shared" si="16"/>
        <v>31.987845503026911</v>
      </c>
      <c r="T33" s="2">
        <f t="shared" si="16"/>
        <v>6.0768593468068062</v>
      </c>
      <c r="U33" s="2">
        <f t="shared" si="16"/>
        <v>6.7666220057843667</v>
      </c>
      <c r="V33" s="2">
        <f t="shared" si="16"/>
        <v>2.2158665615571564</v>
      </c>
      <c r="W33" s="2">
        <f t="shared" si="16"/>
        <v>0.19090084611508604</v>
      </c>
      <c r="X33" s="2">
        <f t="shared" si="16"/>
        <v>0.34747557889647734</v>
      </c>
      <c r="Y33" s="2">
        <f t="shared" si="16"/>
        <v>3.1762169356489922</v>
      </c>
      <c r="Z33" s="2">
        <f t="shared" si="16"/>
        <v>2.023256555528715</v>
      </c>
      <c r="AA33" s="2">
        <f t="shared" si="16"/>
        <v>8.6889247548492726E-2</v>
      </c>
      <c r="AB33" s="18">
        <f t="shared" si="16"/>
        <v>5.490691838033736E-3</v>
      </c>
      <c r="AC33" s="18">
        <f t="shared" si="16"/>
        <v>1.8818471355426683E-3</v>
      </c>
      <c r="AD33" s="18">
        <f t="shared" si="16"/>
        <v>0</v>
      </c>
      <c r="AE33" s="18">
        <f t="shared" si="16"/>
        <v>1.1065514239936868E-3</v>
      </c>
      <c r="AF33" s="18">
        <f t="shared" si="16"/>
        <v>9.7490166377695207E-5</v>
      </c>
      <c r="AG33" s="18">
        <f t="shared" si="16"/>
        <v>6.2337133360294275E-3</v>
      </c>
      <c r="AH33" s="18">
        <f t="shared" si="16"/>
        <v>3.6209869339916033E-3</v>
      </c>
      <c r="AI33" s="18">
        <f t="shared" si="16"/>
        <v>3.8470950153130421E-3</v>
      </c>
      <c r="AJ33" s="18">
        <f t="shared" si="16"/>
        <v>9.8962384699758082E-4</v>
      </c>
      <c r="AK33" s="18">
        <f t="shared" si="16"/>
        <v>3.406037477442865E-4</v>
      </c>
      <c r="AL33" s="18">
        <f t="shared" si="16"/>
        <v>5.5342039282689358E-5</v>
      </c>
      <c r="AM33" s="18">
        <f t="shared" si="16"/>
        <v>0</v>
      </c>
      <c r="AN33" s="18">
        <f t="shared" si="16"/>
        <v>9.549082276779451E-5</v>
      </c>
      <c r="AO33" s="18">
        <f t="shared" si="16"/>
        <v>1.7191689211073607E-4</v>
      </c>
      <c r="AP33" s="18">
        <f t="shared" si="16"/>
        <v>3.5242507333279932E-5</v>
      </c>
      <c r="AQ33" s="18">
        <f t="shared" si="16"/>
        <v>1.9660870536035275E-5</v>
      </c>
      <c r="AR33" s="18">
        <f t="shared" si="16"/>
        <v>2.9087834277850133E-5</v>
      </c>
      <c r="AS33" s="18">
        <f t="shared" si="16"/>
        <v>8.2705983190870869E-4</v>
      </c>
      <c r="AT33" s="18">
        <f t="shared" si="16"/>
        <v>1.548980574368628E-5</v>
      </c>
      <c r="AU33" s="18">
        <f t="shared" si="16"/>
        <v>3.0133530778382642E-5</v>
      </c>
      <c r="AV33" s="18">
        <f t="shared" si="16"/>
        <v>2.0671146569640352E-5</v>
      </c>
      <c r="AW33" s="18">
        <f t="shared" si="16"/>
        <v>5.0528076179778741E-5</v>
      </c>
      <c r="AX33" s="18">
        <f t="shared" si="16"/>
        <v>8.9954761807134573E-5</v>
      </c>
      <c r="AY33" s="18">
        <f t="shared" si="16"/>
        <v>4.0179747972185466E-5</v>
      </c>
      <c r="AZ33" s="18">
        <f t="shared" si="16"/>
        <v>5.1353232054169352E-5</v>
      </c>
      <c r="BA33" s="18">
        <f t="shared" si="16"/>
        <v>8.9065264673670583E-5</v>
      </c>
      <c r="BB33" s="18">
        <f t="shared" si="16"/>
        <v>1.429192601642711E-4</v>
      </c>
      <c r="BC33" s="18">
        <f t="shared" si="16"/>
        <v>9.0273164066994495E-5</v>
      </c>
      <c r="BD33" s="18">
        <f t="shared" si="16"/>
        <v>1.406219209012708E-4</v>
      </c>
      <c r="BE33" s="18">
        <f t="shared" si="16"/>
        <v>3.5389284812881145E-4</v>
      </c>
      <c r="BF33" s="18">
        <f t="shared" si="16"/>
        <v>4.4800882795841918E-4</v>
      </c>
      <c r="BG33" s="18">
        <f t="shared" si="16"/>
        <v>3.7607246886466262E-4</v>
      </c>
      <c r="BH33" s="18">
        <f t="shared" si="16"/>
        <v>4.5154954132954264E-4</v>
      </c>
      <c r="BI33" s="18">
        <f t="shared" si="16"/>
        <v>0</v>
      </c>
      <c r="BJ33" s="18">
        <f t="shared" ref="BJ33:BM33" si="17">STDEV(BJ3,BJ5,BJ7,BJ9,BJ11,BJ13)</f>
        <v>5.8916180599470408E-4</v>
      </c>
      <c r="BK33" s="18">
        <f t="shared" si="17"/>
        <v>3.4816714873265079E-4</v>
      </c>
      <c r="BL33" s="18">
        <f t="shared" si="17"/>
        <v>6.8627098517722374E-5</v>
      </c>
      <c r="BM33" s="18">
        <f t="shared" si="17"/>
        <v>1.2632594349476869E-4</v>
      </c>
    </row>
    <row r="34" spans="1:65" s="37" customFormat="1">
      <c r="A34" s="53"/>
      <c r="B34" s="53"/>
      <c r="C34" s="53"/>
      <c r="D34" s="53"/>
      <c r="E34" s="53"/>
      <c r="F34" s="54" t="s">
        <v>493</v>
      </c>
      <c r="G34" s="55">
        <f t="shared" ref="G34:AA34" si="18">G33/G32</f>
        <v>4.9024986850506269E-2</v>
      </c>
      <c r="H34" s="55">
        <f t="shared" si="18"/>
        <v>3.0419997164672064E-3</v>
      </c>
      <c r="I34" s="55">
        <f t="shared" si="18"/>
        <v>4.8502579831862347E-2</v>
      </c>
      <c r="J34" s="55">
        <f t="shared" si="18"/>
        <v>0.19265807588809583</v>
      </c>
      <c r="K34" s="55">
        <f t="shared" si="18"/>
        <v>0.1829200869976958</v>
      </c>
      <c r="L34" s="55">
        <f t="shared" si="18"/>
        <v>0.17226939611612521</v>
      </c>
      <c r="M34" s="55">
        <f t="shared" si="18"/>
        <v>0.1743492142493003</v>
      </c>
      <c r="N34" s="55">
        <f t="shared" si="18"/>
        <v>0.16569353452533125</v>
      </c>
      <c r="O34" s="55">
        <f t="shared" si="18"/>
        <v>9.3215683228687202E-2</v>
      </c>
      <c r="P34" s="55">
        <f t="shared" si="18"/>
        <v>0.22134258112976682</v>
      </c>
      <c r="Q34" s="55">
        <f t="shared" si="18"/>
        <v>0.16135728467257801</v>
      </c>
      <c r="R34" s="55">
        <f t="shared" si="18"/>
        <v>0</v>
      </c>
      <c r="S34" s="55">
        <f t="shared" si="18"/>
        <v>1.8823096124081031E-2</v>
      </c>
      <c r="T34" s="55">
        <f t="shared" si="18"/>
        <v>8.2534248195690246E-2</v>
      </c>
      <c r="U34" s="55">
        <f t="shared" si="18"/>
        <v>0.2432842304508234</v>
      </c>
      <c r="V34" s="55">
        <f t="shared" si="18"/>
        <v>0.51469871085378616</v>
      </c>
      <c r="W34" s="55">
        <f t="shared" si="18"/>
        <v>0.16841002894411078</v>
      </c>
      <c r="X34" s="55">
        <f t="shared" si="18"/>
        <v>0.52784989319004239</v>
      </c>
      <c r="Y34" s="55">
        <f t="shared" si="18"/>
        <v>0.25167808981140083</v>
      </c>
      <c r="Z34" s="55">
        <f t="shared" si="18"/>
        <v>0.29927500346301328</v>
      </c>
      <c r="AA34" s="55">
        <f t="shared" si="18"/>
        <v>0.20445617394143023</v>
      </c>
      <c r="AB34" s="55">
        <f>IF(AB33 &lt;=0,"",AB33/AB32)</f>
        <v>1.2784820445787803</v>
      </c>
      <c r="AC34" s="55">
        <f>IF(AC33 &lt;=0,"",AC33/AC32)</f>
        <v>2.3752141719929649</v>
      </c>
      <c r="AD34" s="55" t="str">
        <f>IF(AD33 &lt;=0,"",AD33/AD32)</f>
        <v/>
      </c>
      <c r="AE34" s="55">
        <f t="shared" ref="AE34:BM34" si="19">IF(AE33 &lt;=0,"",AE33/AE32)</f>
        <v>0.95690331893107894</v>
      </c>
      <c r="AF34" s="55">
        <f t="shared" si="19"/>
        <v>2.4494897427831783</v>
      </c>
      <c r="AG34" s="55">
        <f t="shared" si="19"/>
        <v>0.40016963610036305</v>
      </c>
      <c r="AH34" s="55">
        <f t="shared" si="19"/>
        <v>0.22733076368140417</v>
      </c>
      <c r="AI34" s="55">
        <f t="shared" si="19"/>
        <v>0.20949224104147629</v>
      </c>
      <c r="AJ34" s="55">
        <f t="shared" si="19"/>
        <v>0.25729956689755534</v>
      </c>
      <c r="AK34" s="55">
        <f t="shared" si="19"/>
        <v>1.2648830785193335</v>
      </c>
      <c r="AL34" s="55">
        <f t="shared" si="19"/>
        <v>1.2448730436591264</v>
      </c>
      <c r="AM34" s="55" t="str">
        <f t="shared" si="19"/>
        <v/>
      </c>
      <c r="AN34" s="55">
        <f t="shared" si="19"/>
        <v>0.84501494669930477</v>
      </c>
      <c r="AO34" s="55">
        <f t="shared" si="19"/>
        <v>0.56510079899720334</v>
      </c>
      <c r="AP34" s="55">
        <f t="shared" si="19"/>
        <v>1.3540877953847767</v>
      </c>
      <c r="AQ34" s="55">
        <f t="shared" si="19"/>
        <v>2.4494897427831779</v>
      </c>
      <c r="AR34" s="55">
        <f t="shared" si="19"/>
        <v>1.7980350751471113</v>
      </c>
      <c r="AS34" s="55">
        <f t="shared" si="19"/>
        <v>0.27906282308751351</v>
      </c>
      <c r="AT34" s="55">
        <f t="shared" si="19"/>
        <v>1.6123691509237874</v>
      </c>
      <c r="AU34" s="55">
        <f t="shared" si="19"/>
        <v>2.4494897427831783</v>
      </c>
      <c r="AV34" s="55">
        <f t="shared" si="19"/>
        <v>1.5588697608108792</v>
      </c>
      <c r="AW34" s="55">
        <f t="shared" si="19"/>
        <v>2.0809040854556429</v>
      </c>
      <c r="AX34" s="55">
        <f t="shared" si="19"/>
        <v>1.3553631060311535</v>
      </c>
      <c r="AY34" s="55">
        <f t="shared" si="19"/>
        <v>1.0346998315419624</v>
      </c>
      <c r="AZ34" s="55">
        <f t="shared" si="19"/>
        <v>2.0856068269504004</v>
      </c>
      <c r="BA34" s="55">
        <f t="shared" si="19"/>
        <v>1.1973280584437831</v>
      </c>
      <c r="BB34" s="55">
        <f t="shared" si="19"/>
        <v>1.8815532751450543</v>
      </c>
      <c r="BC34" s="55">
        <f t="shared" si="19"/>
        <v>2.4494897427831783</v>
      </c>
      <c r="BD34" s="55">
        <f t="shared" si="19"/>
        <v>1.3831806835833145</v>
      </c>
      <c r="BE34" s="55">
        <f t="shared" si="19"/>
        <v>1.9221231894005963</v>
      </c>
      <c r="BF34" s="55">
        <f t="shared" si="19"/>
        <v>1.0428534050612304</v>
      </c>
      <c r="BG34" s="55">
        <f t="shared" si="19"/>
        <v>1.6090096030492027</v>
      </c>
      <c r="BH34" s="55">
        <f t="shared" si="19"/>
        <v>1.3602346207969922</v>
      </c>
      <c r="BI34" s="55" t="str">
        <f t="shared" si="19"/>
        <v/>
      </c>
      <c r="BJ34" s="55">
        <f t="shared" si="19"/>
        <v>1.5886730110957794</v>
      </c>
      <c r="BK34" s="55">
        <f t="shared" si="19"/>
        <v>1.1792933480314731</v>
      </c>
      <c r="BL34" s="55">
        <f t="shared" si="19"/>
        <v>1.2028843834110454</v>
      </c>
      <c r="BM34" s="55">
        <f t="shared" si="19"/>
        <v>0.7987893000258276</v>
      </c>
    </row>
    <row r="35" spans="1:65">
      <c r="A35" s="20"/>
      <c r="B35" s="20"/>
      <c r="C35" s="20" t="s">
        <v>500</v>
      </c>
      <c r="D35" s="20" t="s">
        <v>504</v>
      </c>
      <c r="E35" s="23"/>
      <c r="F35" s="23" t="s">
        <v>502</v>
      </c>
      <c r="G35" s="80">
        <f t="shared" ref="G35:BI35" si="20">AVERAGE(G4,G6,G14)</f>
        <v>0.80911041727210131</v>
      </c>
      <c r="H35" s="80">
        <f t="shared" si="20"/>
        <v>0.9836657973770081</v>
      </c>
      <c r="I35" s="80">
        <f t="shared" si="20"/>
        <v>0.82199014336308418</v>
      </c>
      <c r="J35" s="81">
        <f t="shared" si="20"/>
        <v>42972.47919130075</v>
      </c>
      <c r="K35" s="81">
        <f t="shared" si="20"/>
        <v>53254.494966545899</v>
      </c>
      <c r="L35" s="9">
        <f t="shared" si="20"/>
        <v>1520.5852354505105</v>
      </c>
      <c r="M35" s="9">
        <f t="shared" si="20"/>
        <v>22.142330405236788</v>
      </c>
      <c r="N35" s="9">
        <f t="shared" si="20"/>
        <v>29.022277766553202</v>
      </c>
      <c r="O35" s="9">
        <f t="shared" si="20"/>
        <v>11.388822978937798</v>
      </c>
      <c r="P35" s="9">
        <f t="shared" si="20"/>
        <v>0.98600636811458775</v>
      </c>
      <c r="Q35" s="9">
        <f t="shared" si="20"/>
        <v>454.48402907488708</v>
      </c>
      <c r="R35" s="2">
        <f t="shared" si="20"/>
        <v>0.51910000000000001</v>
      </c>
      <c r="S35" s="2">
        <f t="shared" si="20"/>
        <v>1737.9894071706265</v>
      </c>
      <c r="T35" s="2">
        <f t="shared" si="20"/>
        <v>24.726843075518364</v>
      </c>
      <c r="U35" s="2">
        <f t="shared" si="20"/>
        <v>33.011104741579835</v>
      </c>
      <c r="V35" s="2">
        <f t="shared" si="20"/>
        <v>13.025210640536029</v>
      </c>
      <c r="W35" s="2">
        <f t="shared" si="20"/>
        <v>1.1340549399615962</v>
      </c>
      <c r="X35" s="2">
        <f t="shared" si="20"/>
        <v>0.11402019792259334</v>
      </c>
      <c r="Y35" s="2">
        <f t="shared" si="20"/>
        <v>6.2725869249441573</v>
      </c>
      <c r="Z35" s="2">
        <f t="shared" si="20"/>
        <v>3.1031452336740131</v>
      </c>
      <c r="AA35" s="2">
        <f t="shared" si="20"/>
        <v>8.7717810637428104E-2</v>
      </c>
      <c r="AB35" s="18">
        <f t="shared" si="20"/>
        <v>0</v>
      </c>
      <c r="AC35" s="18">
        <f t="shared" si="20"/>
        <v>0</v>
      </c>
      <c r="AD35" s="18">
        <f t="shared" si="20"/>
        <v>0</v>
      </c>
      <c r="AE35" s="18">
        <f t="shared" si="20"/>
        <v>1.3454415170700181E-4</v>
      </c>
      <c r="AF35" s="18">
        <f t="shared" si="20"/>
        <v>1.1517016245353462E-4</v>
      </c>
      <c r="AG35" s="18">
        <f t="shared" si="20"/>
        <v>6.9943823754580617E-3</v>
      </c>
      <c r="AH35" s="18">
        <f t="shared" si="20"/>
        <v>6.4711405843885447E-3</v>
      </c>
      <c r="AI35" s="18">
        <f t="shared" si="20"/>
        <v>2.2774107589892591E-2</v>
      </c>
      <c r="AJ35" s="18">
        <f t="shared" si="20"/>
        <v>3.3055103030281917E-3</v>
      </c>
      <c r="AK35" s="18">
        <f t="shared" si="20"/>
        <v>6.3276885080190733E-6</v>
      </c>
      <c r="AL35" s="18">
        <f t="shared" si="20"/>
        <v>6.0600948977250638E-6</v>
      </c>
      <c r="AM35" s="18">
        <f t="shared" si="20"/>
        <v>2.2244808216729614E-4</v>
      </c>
      <c r="AN35" s="18">
        <f t="shared" si="20"/>
        <v>1.0133332164780704E-4</v>
      </c>
      <c r="AO35" s="18">
        <f t="shared" si="20"/>
        <v>2.3750460884938355E-6</v>
      </c>
      <c r="AP35" s="18">
        <f t="shared" si="20"/>
        <v>0</v>
      </c>
      <c r="AQ35" s="18">
        <f t="shared" si="20"/>
        <v>3.4293266248882639E-6</v>
      </c>
      <c r="AR35" s="18">
        <f t="shared" si="20"/>
        <v>0</v>
      </c>
      <c r="AS35" s="18">
        <f t="shared" si="20"/>
        <v>2.6864119928309612E-3</v>
      </c>
      <c r="AT35" s="18">
        <f t="shared" si="20"/>
        <v>0</v>
      </c>
      <c r="AU35" s="18">
        <f t="shared" si="20"/>
        <v>2.1685292829819215E-6</v>
      </c>
      <c r="AV35" s="18">
        <f t="shared" si="20"/>
        <v>0</v>
      </c>
      <c r="AW35" s="18">
        <f t="shared" si="20"/>
        <v>2.1685292829819215E-6</v>
      </c>
      <c r="AX35" s="18">
        <f t="shared" si="20"/>
        <v>2.5366167614605356E-5</v>
      </c>
      <c r="AY35" s="18">
        <f t="shared" si="20"/>
        <v>9.43878045685032E-5</v>
      </c>
      <c r="AZ35" s="18">
        <f t="shared" si="20"/>
        <v>8.0325060230705884E-6</v>
      </c>
      <c r="BA35" s="18">
        <f t="shared" si="20"/>
        <v>0</v>
      </c>
      <c r="BB35" s="18">
        <f t="shared" si="20"/>
        <v>2.4240379590900255E-5</v>
      </c>
      <c r="BC35" s="18">
        <f t="shared" si="20"/>
        <v>0</v>
      </c>
      <c r="BD35" s="18">
        <f t="shared" si="20"/>
        <v>1.0557692502042116E-4</v>
      </c>
      <c r="BE35" s="18">
        <f t="shared" si="20"/>
        <v>2.2101522568173762E-5</v>
      </c>
      <c r="BF35" s="18">
        <f t="shared" si="20"/>
        <v>1.0357112032423717E-4</v>
      </c>
      <c r="BG35" s="18">
        <f t="shared" si="20"/>
        <v>1.97309560346519E-4</v>
      </c>
      <c r="BH35" s="18">
        <f t="shared" si="20"/>
        <v>0</v>
      </c>
      <c r="BI35" s="18">
        <f t="shared" si="20"/>
        <v>4.028180726134895E-5</v>
      </c>
      <c r="BJ35" s="18">
        <f t="shared" ref="BJ35:BM35" si="21">AVERAGE(BJ4,BJ6,BJ14)</f>
        <v>0</v>
      </c>
      <c r="BK35" s="18">
        <f t="shared" si="21"/>
        <v>0</v>
      </c>
      <c r="BL35" s="18">
        <f t="shared" si="21"/>
        <v>0</v>
      </c>
      <c r="BM35" s="18">
        <f t="shared" si="21"/>
        <v>2.7290134274188863E-6</v>
      </c>
    </row>
    <row r="36" spans="1:65">
      <c r="A36" s="20"/>
      <c r="B36" s="20"/>
      <c r="C36" s="20"/>
      <c r="D36" s="20"/>
      <c r="E36" s="23"/>
      <c r="F36" s="23" t="s">
        <v>503</v>
      </c>
      <c r="G36" s="80">
        <f t="shared" ref="G36:BI36" si="22">STDEV(G4,G6,G14)</f>
        <v>8.7391573821199026E-2</v>
      </c>
      <c r="H36" s="80">
        <f t="shared" si="22"/>
        <v>1.33332368566321E-2</v>
      </c>
      <c r="I36" s="80">
        <f t="shared" si="22"/>
        <v>7.9575755583362717E-2</v>
      </c>
      <c r="J36" s="81">
        <f t="shared" si="22"/>
        <v>2976.6485775393462</v>
      </c>
      <c r="K36" s="81">
        <f t="shared" si="22"/>
        <v>2085.9049756351892</v>
      </c>
      <c r="L36" s="9">
        <f t="shared" si="22"/>
        <v>152.84574015443661</v>
      </c>
      <c r="M36" s="9">
        <f t="shared" si="22"/>
        <v>11.536025651343513</v>
      </c>
      <c r="N36" s="9">
        <f t="shared" si="22"/>
        <v>6.3436890832107578</v>
      </c>
      <c r="O36" s="9">
        <f t="shared" si="22"/>
        <v>1.171252065195344</v>
      </c>
      <c r="P36" s="9">
        <f t="shared" si="22"/>
        <v>0.13710035177070726</v>
      </c>
      <c r="Q36" s="9">
        <f t="shared" si="22"/>
        <v>49.001394413325805</v>
      </c>
      <c r="R36" s="2">
        <f t="shared" si="22"/>
        <v>0</v>
      </c>
      <c r="S36" s="2">
        <f t="shared" si="22"/>
        <v>32.764657918694297</v>
      </c>
      <c r="T36" s="2">
        <f t="shared" si="22"/>
        <v>11.521476576105579</v>
      </c>
      <c r="U36" s="2">
        <f t="shared" si="22"/>
        <v>5.1344993715325602</v>
      </c>
      <c r="V36" s="2">
        <f t="shared" si="22"/>
        <v>0.66200027233493985</v>
      </c>
      <c r="W36" s="2">
        <f t="shared" si="22"/>
        <v>0.18479444712986867</v>
      </c>
      <c r="X36" s="2">
        <f t="shared" si="22"/>
        <v>9.6696794595317395E-2</v>
      </c>
      <c r="Y36" s="2">
        <f t="shared" si="22"/>
        <v>2.6198477131434528</v>
      </c>
      <c r="Z36" s="2">
        <f t="shared" si="22"/>
        <v>1.370847420946588</v>
      </c>
      <c r="AA36" s="2">
        <f t="shared" si="22"/>
        <v>2.8241396235803892E-2</v>
      </c>
      <c r="AB36" s="18">
        <f t="shared" si="22"/>
        <v>0</v>
      </c>
      <c r="AC36" s="18">
        <f t="shared" si="22"/>
        <v>0</v>
      </c>
      <c r="AD36" s="18">
        <f t="shared" si="22"/>
        <v>0</v>
      </c>
      <c r="AE36" s="18">
        <f t="shared" si="22"/>
        <v>1.4581780899187996E-4</v>
      </c>
      <c r="AF36" s="18">
        <f t="shared" si="22"/>
        <v>6.6394632193880811E-5</v>
      </c>
      <c r="AG36" s="18">
        <f t="shared" si="22"/>
        <v>1.0460902915551684E-3</v>
      </c>
      <c r="AH36" s="18">
        <f t="shared" si="22"/>
        <v>6.3194043295320204E-4</v>
      </c>
      <c r="AI36" s="18">
        <f t="shared" si="22"/>
        <v>3.4635220612803603E-3</v>
      </c>
      <c r="AJ36" s="18">
        <f t="shared" si="22"/>
        <v>9.3259720986158326E-4</v>
      </c>
      <c r="AK36" s="18">
        <f t="shared" si="22"/>
        <v>1.095987799035874E-5</v>
      </c>
      <c r="AL36" s="18">
        <f t="shared" si="22"/>
        <v>1.0496392261548729E-5</v>
      </c>
      <c r="AM36" s="18">
        <f t="shared" si="22"/>
        <v>3.8529138036001319E-4</v>
      </c>
      <c r="AN36" s="18">
        <f t="shared" si="22"/>
        <v>4.8649507437054691E-5</v>
      </c>
      <c r="AO36" s="18">
        <f t="shared" si="22"/>
        <v>4.1137004955890503E-6</v>
      </c>
      <c r="AP36" s="18">
        <f t="shared" si="22"/>
        <v>0</v>
      </c>
      <c r="AQ36" s="18">
        <f t="shared" si="22"/>
        <v>5.9397679500551692E-6</v>
      </c>
      <c r="AR36" s="18">
        <f t="shared" si="22"/>
        <v>0</v>
      </c>
      <c r="AS36" s="18">
        <f t="shared" si="22"/>
        <v>1.2763358434411409E-3</v>
      </c>
      <c r="AT36" s="18">
        <f t="shared" si="22"/>
        <v>0</v>
      </c>
      <c r="AU36" s="18">
        <f t="shared" si="22"/>
        <v>3.7560028958255951E-6</v>
      </c>
      <c r="AV36" s="18">
        <f t="shared" si="22"/>
        <v>0</v>
      </c>
      <c r="AW36" s="18">
        <f t="shared" si="22"/>
        <v>3.7560028958255951E-6</v>
      </c>
      <c r="AX36" s="18">
        <f t="shared" si="22"/>
        <v>1.0155711232857685E-5</v>
      </c>
      <c r="AY36" s="18">
        <f t="shared" si="22"/>
        <v>2.0467419594246483E-5</v>
      </c>
      <c r="AZ36" s="18">
        <f t="shared" si="22"/>
        <v>1.3912708544061281E-5</v>
      </c>
      <c r="BA36" s="18">
        <f t="shared" si="22"/>
        <v>0</v>
      </c>
      <c r="BB36" s="18">
        <f t="shared" si="22"/>
        <v>4.1985569046194916E-5</v>
      </c>
      <c r="BC36" s="18">
        <f t="shared" si="22"/>
        <v>0</v>
      </c>
      <c r="BD36" s="18">
        <f t="shared" si="22"/>
        <v>9.1353994175842078E-5</v>
      </c>
      <c r="BE36" s="18">
        <f t="shared" si="22"/>
        <v>3.8280960012707133E-5</v>
      </c>
      <c r="BF36" s="18">
        <f t="shared" si="22"/>
        <v>1.1405337563403577E-4</v>
      </c>
      <c r="BG36" s="18">
        <f t="shared" si="22"/>
        <v>3.4175018333924839E-4</v>
      </c>
      <c r="BH36" s="18">
        <f t="shared" si="22"/>
        <v>0</v>
      </c>
      <c r="BI36" s="18">
        <f t="shared" si="22"/>
        <v>6.9770136797353303E-5</v>
      </c>
      <c r="BJ36" s="18">
        <f t="shared" ref="BJ36:BM36" si="23">STDEV(BJ4,BJ6,BJ14)</f>
        <v>0</v>
      </c>
      <c r="BK36" s="18">
        <f t="shared" si="23"/>
        <v>0</v>
      </c>
      <c r="BL36" s="18">
        <f t="shared" si="23"/>
        <v>0</v>
      </c>
      <c r="BM36" s="18">
        <f t="shared" si="23"/>
        <v>4.7267899108271923E-6</v>
      </c>
    </row>
    <row r="37" spans="1:65" s="37" customFormat="1">
      <c r="A37" s="53"/>
      <c r="B37" s="53"/>
      <c r="C37" s="53"/>
      <c r="D37" s="53"/>
      <c r="E37" s="53"/>
      <c r="F37" s="54" t="s">
        <v>493</v>
      </c>
      <c r="G37" s="55">
        <f t="shared" ref="G37:AA37" si="24">G36/G35</f>
        <v>0.10800945329048892</v>
      </c>
      <c r="H37" s="55">
        <f t="shared" si="24"/>
        <v>1.355464111102146E-2</v>
      </c>
      <c r="I37" s="55">
        <f t="shared" si="24"/>
        <v>9.6808649380863712E-2</v>
      </c>
      <c r="J37" s="55">
        <f t="shared" si="24"/>
        <v>6.9268718806941257E-2</v>
      </c>
      <c r="K37" s="55">
        <f t="shared" si="24"/>
        <v>3.9168618103420941E-2</v>
      </c>
      <c r="L37" s="55">
        <f t="shared" si="24"/>
        <v>0.10051770633505615</v>
      </c>
      <c r="M37" s="55">
        <f t="shared" si="24"/>
        <v>0.5209941970974824</v>
      </c>
      <c r="N37" s="55">
        <f t="shared" si="24"/>
        <v>0.21857998652750676</v>
      </c>
      <c r="O37" s="55">
        <f t="shared" si="24"/>
        <v>0.10284223991903536</v>
      </c>
      <c r="P37" s="55">
        <f t="shared" si="24"/>
        <v>0.13904611187538932</v>
      </c>
      <c r="Q37" s="55">
        <f t="shared" si="24"/>
        <v>0.10781763775741315</v>
      </c>
      <c r="R37" s="55">
        <f t="shared" si="24"/>
        <v>0</v>
      </c>
      <c r="S37" s="55">
        <f t="shared" si="24"/>
        <v>1.8852046959269897E-2</v>
      </c>
      <c r="T37" s="55">
        <f t="shared" si="24"/>
        <v>0.46595016359014313</v>
      </c>
      <c r="U37" s="55">
        <f t="shared" si="24"/>
        <v>0.15553855018566806</v>
      </c>
      <c r="V37" s="55">
        <f t="shared" si="24"/>
        <v>5.0824534865848162E-2</v>
      </c>
      <c r="W37" s="55">
        <f t="shared" si="24"/>
        <v>0.16295017165228923</v>
      </c>
      <c r="X37" s="55">
        <f t="shared" si="24"/>
        <v>0.84806724034072845</v>
      </c>
      <c r="Y37" s="55">
        <f t="shared" si="24"/>
        <v>0.41766622678836396</v>
      </c>
      <c r="Z37" s="55">
        <f t="shared" si="24"/>
        <v>0.4417606388739832</v>
      </c>
      <c r="AA37" s="55">
        <f t="shared" si="24"/>
        <v>0.32195737707746253</v>
      </c>
      <c r="AB37" s="55" t="str">
        <f>IF(AB36 &lt;=0,"",AB36/AB35)</f>
        <v/>
      </c>
      <c r="AC37" s="55" t="str">
        <f>IF(AC36 &lt;=0,"",AC36/AC35)</f>
        <v/>
      </c>
      <c r="AD37" s="55" t="str">
        <f>IF(AD36 &lt;=0,"",AD36/AD35)</f>
        <v/>
      </c>
      <c r="AE37" s="55">
        <f t="shared" ref="AE37" si="25">IF(AE36 &lt;=0,"",AE36/AE35)</f>
        <v>1.0837915074111055</v>
      </c>
      <c r="AF37" s="55">
        <f t="shared" ref="AF37" si="26">IF(AF36 &lt;=0,"",AF36/AF35)</f>
        <v>0.57649160841175084</v>
      </c>
      <c r="AG37" s="55">
        <f t="shared" ref="AG37" si="27">IF(AG36 &lt;=0,"",AG36/AG35)</f>
        <v>0.14956149598364787</v>
      </c>
      <c r="AH37" s="55">
        <f t="shared" ref="AH37" si="28">IF(AH36 &lt;=0,"",AH36/AH35)</f>
        <v>9.7655185312731665E-2</v>
      </c>
      <c r="AI37" s="55">
        <f t="shared" ref="AI37" si="29">IF(AI36 &lt;=0,"",AI36/AI35)</f>
        <v>0.15208157103892453</v>
      </c>
      <c r="AJ37" s="55">
        <f t="shared" ref="AJ37" si="30">IF(AJ36 &lt;=0,"",AJ36/AJ35)</f>
        <v>0.28213411073238137</v>
      </c>
      <c r="AK37" s="55">
        <f t="shared" ref="AK37" si="31">IF(AK36 &lt;=0,"",AK36/AK35)</f>
        <v>1.7320508075688774</v>
      </c>
      <c r="AL37" s="55">
        <f t="shared" ref="AL37" si="32">IF(AL36 &lt;=0,"",AL36/AL35)</f>
        <v>1.7320508075688772</v>
      </c>
      <c r="AM37" s="55">
        <f t="shared" ref="AM37" si="33">IF(AM36 &lt;=0,"",AM36/AM35)</f>
        <v>1.732050807568877</v>
      </c>
      <c r="AN37" s="55">
        <f t="shared" ref="AN37" si="34">IF(AN36 &lt;=0,"",AN36/AN35)</f>
        <v>0.48009387875530596</v>
      </c>
      <c r="AO37" s="55">
        <f t="shared" ref="AO37" si="35">IF(AO36 &lt;=0,"",AO36/AO35)</f>
        <v>1.732050807568877</v>
      </c>
      <c r="AP37" s="55" t="str">
        <f t="shared" ref="AP37" si="36">IF(AP36 &lt;=0,"",AP36/AP35)</f>
        <v/>
      </c>
      <c r="AQ37" s="55">
        <f t="shared" ref="AQ37" si="37">IF(AQ36 &lt;=0,"",AQ36/AQ35)</f>
        <v>1.7320508075688772</v>
      </c>
      <c r="AR37" s="55" t="str">
        <f t="shared" ref="AR37" si="38">IF(AR36 &lt;=0,"",AR36/AR35)</f>
        <v/>
      </c>
      <c r="AS37" s="55">
        <f t="shared" ref="AS37" si="39">IF(AS36 &lt;=0,"",AS36/AS35)</f>
        <v>0.47510800534214731</v>
      </c>
      <c r="AT37" s="55" t="str">
        <f t="shared" ref="AT37" si="40">IF(AT36 &lt;=0,"",AT36/AT35)</f>
        <v/>
      </c>
      <c r="AU37" s="55">
        <f t="shared" ref="AU37" si="41">IF(AU36 &lt;=0,"",AU36/AU35)</f>
        <v>1.7320508075688772</v>
      </c>
      <c r="AV37" s="55" t="str">
        <f t="shared" ref="AV37" si="42">IF(AV36 &lt;=0,"",AV36/AV35)</f>
        <v/>
      </c>
      <c r="AW37" s="55">
        <f t="shared" ref="AW37" si="43">IF(AW36 &lt;=0,"",AW36/AW35)</f>
        <v>1.7320508075688772</v>
      </c>
      <c r="AX37" s="55">
        <f t="shared" ref="AX37" si="44">IF(AX36 &lt;=0,"",AX36/AX35)</f>
        <v>0.40036442978521597</v>
      </c>
      <c r="AY37" s="55">
        <f t="shared" ref="AY37" si="45">IF(AY36 &lt;=0,"",AY36/AY35)</f>
        <v>0.2168438993555781</v>
      </c>
      <c r="AZ37" s="55">
        <f t="shared" ref="AZ37" si="46">IF(AZ36 &lt;=0,"",AZ36/AZ35)</f>
        <v>1.732050807568877</v>
      </c>
      <c r="BA37" s="55" t="str">
        <f t="shared" ref="BA37" si="47">IF(BA36 &lt;=0,"",BA36/BA35)</f>
        <v/>
      </c>
      <c r="BB37" s="55">
        <f t="shared" ref="BB37" si="48">IF(BB36 &lt;=0,"",BB36/BB35)</f>
        <v>1.7320508075688772</v>
      </c>
      <c r="BC37" s="55" t="str">
        <f t="shared" ref="BC37" si="49">IF(BC36 &lt;=0,"",BC36/BC35)</f>
        <v/>
      </c>
      <c r="BD37" s="55">
        <f t="shared" ref="BD37" si="50">IF(BD36 &lt;=0,"",BD36/BD35)</f>
        <v>0.86528371761321876</v>
      </c>
      <c r="BE37" s="55">
        <f t="shared" ref="BE37" si="51">IF(BE36 &lt;=0,"",BE36/BE35)</f>
        <v>1.7320508075688774</v>
      </c>
      <c r="BF37" s="55">
        <f t="shared" ref="BF37" si="52">IF(BF36 &lt;=0,"",BF36/BF35)</f>
        <v>1.1012082835155506</v>
      </c>
      <c r="BG37" s="55">
        <f t="shared" ref="BG37" si="53">IF(BG36 &lt;=0,"",BG36/BG35)</f>
        <v>1.7320508075688774</v>
      </c>
      <c r="BH37" s="55" t="str">
        <f t="shared" ref="BH37" si="54">IF(BH36 &lt;=0,"",BH36/BH35)</f>
        <v/>
      </c>
      <c r="BI37" s="55">
        <f t="shared" ref="BI37" si="55">IF(BI36 &lt;=0,"",BI36/BI35)</f>
        <v>1.732050807568877</v>
      </c>
      <c r="BJ37" s="55" t="str">
        <f t="shared" ref="BJ37" si="56">IF(BJ36 &lt;=0,"",BJ36/BJ35)</f>
        <v/>
      </c>
      <c r="BK37" s="55" t="str">
        <f t="shared" ref="BK37" si="57">IF(BK36 &lt;=0,"",BK36/BK35)</f>
        <v/>
      </c>
      <c r="BL37" s="55" t="str">
        <f t="shared" ref="BL37" si="58">IF(BL36 &lt;=0,"",BL36/BL35)</f>
        <v/>
      </c>
      <c r="BM37" s="55">
        <f t="shared" ref="BM37" si="59">IF(BM36 &lt;=0,"",BM36/BM35)</f>
        <v>1.7320508075688774</v>
      </c>
    </row>
    <row r="38" spans="1:65">
      <c r="A38" s="20"/>
      <c r="B38" s="20"/>
      <c r="C38" s="20" t="s">
        <v>500</v>
      </c>
      <c r="D38" s="20" t="s">
        <v>505</v>
      </c>
      <c r="E38" s="23"/>
      <c r="F38" s="23" t="s">
        <v>502</v>
      </c>
      <c r="G38" s="80">
        <f t="shared" ref="G38:BI38" si="60">AVERAGE(G8,G10,G12)</f>
        <v>0.78189093673477073</v>
      </c>
      <c r="H38" s="80">
        <f t="shared" si="60"/>
        <v>0.97172170185594897</v>
      </c>
      <c r="I38" s="80">
        <f t="shared" si="60"/>
        <v>0.80488227923702738</v>
      </c>
      <c r="J38" s="81">
        <f t="shared" si="60"/>
        <v>30127.44683955186</v>
      </c>
      <c r="K38" s="81">
        <f t="shared" si="60"/>
        <v>38643.054444386631</v>
      </c>
      <c r="L38" s="9">
        <f t="shared" si="60"/>
        <v>948.44661263939497</v>
      </c>
      <c r="M38" s="9">
        <f t="shared" si="60"/>
        <v>21.355357524603665</v>
      </c>
      <c r="N38" s="9">
        <f t="shared" si="60"/>
        <v>23.908062271298643</v>
      </c>
      <c r="O38" s="9">
        <f t="shared" si="60"/>
        <v>9.5781449090951618</v>
      </c>
      <c r="P38" s="9">
        <f t="shared" si="60"/>
        <v>0.5785360275278878</v>
      </c>
      <c r="Q38" s="9">
        <f t="shared" si="60"/>
        <v>290.52548202758618</v>
      </c>
      <c r="R38" s="2">
        <f t="shared" si="60"/>
        <v>0.51910000000000001</v>
      </c>
      <c r="S38" s="2">
        <f t="shared" si="60"/>
        <v>1687.6941842602919</v>
      </c>
      <c r="T38" s="2">
        <f t="shared" si="60"/>
        <v>40.004877239198102</v>
      </c>
      <c r="U38" s="2">
        <f t="shared" si="60"/>
        <v>43.936208337994167</v>
      </c>
      <c r="V38" s="2">
        <f t="shared" si="60"/>
        <v>11.664948066834596</v>
      </c>
      <c r="W38" s="2">
        <f t="shared" si="60"/>
        <v>1.0256170624933119</v>
      </c>
      <c r="X38" s="2">
        <f t="shared" si="60"/>
        <v>0.12460052176033139</v>
      </c>
      <c r="Y38" s="2">
        <f t="shared" si="60"/>
        <v>7.3451586159843956</v>
      </c>
      <c r="Z38" s="2">
        <f t="shared" si="60"/>
        <v>3.6855358949871566</v>
      </c>
      <c r="AA38" s="2">
        <f t="shared" si="60"/>
        <v>6.6191461234388793E-2</v>
      </c>
      <c r="AB38" s="18">
        <f t="shared" si="60"/>
        <v>1.007046757480638E-4</v>
      </c>
      <c r="AC38" s="18">
        <f t="shared" si="60"/>
        <v>1.2015575373459974E-4</v>
      </c>
      <c r="AD38" s="18">
        <f t="shared" si="60"/>
        <v>7.5299515342536343E-5</v>
      </c>
      <c r="AE38" s="18">
        <f t="shared" si="60"/>
        <v>4.009006421841149E-5</v>
      </c>
      <c r="AF38" s="18">
        <f t="shared" si="60"/>
        <v>8.2989024334188691E-5</v>
      </c>
      <c r="AG38" s="18">
        <f t="shared" si="60"/>
        <v>5.8319155342848169E-3</v>
      </c>
      <c r="AH38" s="18">
        <f t="shared" si="60"/>
        <v>7.9974555286253055E-3</v>
      </c>
      <c r="AI38" s="18">
        <f t="shared" si="60"/>
        <v>1.4145572700528653E-2</v>
      </c>
      <c r="AJ38" s="18">
        <f t="shared" si="60"/>
        <v>2.3153559030416426E-3</v>
      </c>
      <c r="AK38" s="18">
        <f t="shared" si="60"/>
        <v>4.6902134884895665E-5</v>
      </c>
      <c r="AL38" s="18">
        <f t="shared" si="60"/>
        <v>0</v>
      </c>
      <c r="AM38" s="18">
        <f t="shared" si="60"/>
        <v>0</v>
      </c>
      <c r="AN38" s="18">
        <f t="shared" si="60"/>
        <v>2.240779140904471E-5</v>
      </c>
      <c r="AO38" s="18">
        <f t="shared" si="60"/>
        <v>7.5009532139445572E-5</v>
      </c>
      <c r="AP38" s="18">
        <f t="shared" si="60"/>
        <v>0</v>
      </c>
      <c r="AQ38" s="18">
        <f t="shared" si="60"/>
        <v>0</v>
      </c>
      <c r="AR38" s="18">
        <f t="shared" si="60"/>
        <v>2.6014181886778807E-5</v>
      </c>
      <c r="AS38" s="18">
        <f t="shared" si="60"/>
        <v>1.100687506885911E-3</v>
      </c>
      <c r="AT38" s="18">
        <f t="shared" si="60"/>
        <v>0</v>
      </c>
      <c r="AU38" s="18">
        <f t="shared" si="60"/>
        <v>7.7644081852471423E-6</v>
      </c>
      <c r="AV38" s="18">
        <f t="shared" si="60"/>
        <v>0</v>
      </c>
      <c r="AW38" s="18">
        <f t="shared" si="60"/>
        <v>1.4336424611002913E-5</v>
      </c>
      <c r="AX38" s="18">
        <f t="shared" si="60"/>
        <v>3.8011137047617455E-5</v>
      </c>
      <c r="AY38" s="18">
        <f t="shared" si="60"/>
        <v>7.3867194503433043E-5</v>
      </c>
      <c r="AZ38" s="18">
        <f t="shared" si="60"/>
        <v>2.7525484537514022E-5</v>
      </c>
      <c r="BA38" s="18">
        <f t="shared" si="60"/>
        <v>0</v>
      </c>
      <c r="BB38" s="18">
        <f t="shared" si="60"/>
        <v>1.3863809684004888E-5</v>
      </c>
      <c r="BC38" s="18">
        <f t="shared" si="60"/>
        <v>0</v>
      </c>
      <c r="BD38" s="18">
        <f t="shared" si="60"/>
        <v>3.0413488788184222E-5</v>
      </c>
      <c r="BE38" s="18">
        <f t="shared" si="60"/>
        <v>2.7591699665225415E-5</v>
      </c>
      <c r="BF38" s="18">
        <f t="shared" si="60"/>
        <v>1.2498070406542801E-4</v>
      </c>
      <c r="BG38" s="18">
        <f t="shared" si="60"/>
        <v>1.329433716356723E-4</v>
      </c>
      <c r="BH38" s="18">
        <f t="shared" si="60"/>
        <v>1.9244988301166715E-4</v>
      </c>
      <c r="BI38" s="18">
        <f t="shared" si="60"/>
        <v>7.8365381683481275E-5</v>
      </c>
      <c r="BJ38" s="18">
        <f t="shared" ref="BJ38:BM38" si="61">AVERAGE(BJ8,BJ10,BJ12)</f>
        <v>4.248564873859605E-5</v>
      </c>
      <c r="BK38" s="18">
        <f t="shared" si="61"/>
        <v>0</v>
      </c>
      <c r="BL38" s="18">
        <f t="shared" si="61"/>
        <v>2.0375539286665289E-5</v>
      </c>
      <c r="BM38" s="18">
        <f t="shared" si="61"/>
        <v>0</v>
      </c>
    </row>
    <row r="39" spans="1:65">
      <c r="A39" s="20"/>
      <c r="B39" s="20"/>
      <c r="C39" s="20"/>
      <c r="D39" s="20"/>
      <c r="E39" s="23"/>
      <c r="F39" s="23" t="s">
        <v>503</v>
      </c>
      <c r="G39" s="80">
        <f t="shared" ref="G39:BI39" si="62">STDEV(G8,G10,G12)</f>
        <v>2.4227557112489119E-2</v>
      </c>
      <c r="H39" s="80">
        <f t="shared" si="62"/>
        <v>1.8253326610939983E-2</v>
      </c>
      <c r="I39" s="80">
        <f t="shared" si="62"/>
        <v>3.0816125370631994E-2</v>
      </c>
      <c r="J39" s="81">
        <f t="shared" si="62"/>
        <v>8860.7167083720069</v>
      </c>
      <c r="K39" s="81">
        <f t="shared" si="62"/>
        <v>12023.454603381826</v>
      </c>
      <c r="L39" s="9">
        <f t="shared" si="62"/>
        <v>191.27400926368085</v>
      </c>
      <c r="M39" s="9">
        <f t="shared" si="62"/>
        <v>4.9476119497811348</v>
      </c>
      <c r="N39" s="9">
        <f t="shared" si="62"/>
        <v>2.4392750517392905</v>
      </c>
      <c r="O39" s="9">
        <f t="shared" si="62"/>
        <v>2.0876729001421208</v>
      </c>
      <c r="P39" s="9">
        <f t="shared" si="62"/>
        <v>0.18050525494180958</v>
      </c>
      <c r="Q39" s="9">
        <f t="shared" si="62"/>
        <v>49.007593670427198</v>
      </c>
      <c r="R39" s="2">
        <f t="shared" si="62"/>
        <v>0</v>
      </c>
      <c r="S39" s="2">
        <f t="shared" si="62"/>
        <v>67.368378569784539</v>
      </c>
      <c r="T39" s="2">
        <f t="shared" si="62"/>
        <v>16.820107071574327</v>
      </c>
      <c r="U39" s="2">
        <f t="shared" si="62"/>
        <v>11.048830238987849</v>
      </c>
      <c r="V39" s="2">
        <f t="shared" si="62"/>
        <v>10.105471332235961</v>
      </c>
      <c r="W39" s="2">
        <f t="shared" si="62"/>
        <v>0.2375816606619921</v>
      </c>
      <c r="X39" s="2">
        <f t="shared" si="62"/>
        <v>0.11605114641177237</v>
      </c>
      <c r="Y39" s="2">
        <f t="shared" si="62"/>
        <v>4.9562344777934673</v>
      </c>
      <c r="Z39" s="2">
        <f t="shared" si="62"/>
        <v>2.4913194705645885</v>
      </c>
      <c r="AA39" s="2">
        <f t="shared" si="62"/>
        <v>8.4064605215013674E-3</v>
      </c>
      <c r="AB39" s="18">
        <f t="shared" si="62"/>
        <v>1.7442561495539585E-4</v>
      </c>
      <c r="AC39" s="18">
        <f t="shared" si="62"/>
        <v>2.0811587029006062E-4</v>
      </c>
      <c r="AD39" s="18">
        <f t="shared" si="62"/>
        <v>1.3042258635858516E-4</v>
      </c>
      <c r="AE39" s="18">
        <f t="shared" si="62"/>
        <v>6.9438028104987774E-5</v>
      </c>
      <c r="AF39" s="18">
        <f t="shared" si="62"/>
        <v>5.1646189348226659E-5</v>
      </c>
      <c r="AG39" s="18">
        <f t="shared" si="62"/>
        <v>2.0917768321068704E-3</v>
      </c>
      <c r="AH39" s="18">
        <f t="shared" si="62"/>
        <v>1.3852459250276365E-3</v>
      </c>
      <c r="AI39" s="18">
        <f t="shared" si="62"/>
        <v>1.9275058309812744E-3</v>
      </c>
      <c r="AJ39" s="18">
        <f t="shared" si="62"/>
        <v>1.5949129959875266E-3</v>
      </c>
      <c r="AK39" s="18">
        <f t="shared" si="62"/>
        <v>6.2891740401033741E-5</v>
      </c>
      <c r="AL39" s="18">
        <f t="shared" si="62"/>
        <v>0</v>
      </c>
      <c r="AM39" s="18">
        <f t="shared" si="62"/>
        <v>0</v>
      </c>
      <c r="AN39" s="18">
        <f t="shared" si="62"/>
        <v>2.6000066820735707E-5</v>
      </c>
      <c r="AO39" s="18">
        <f t="shared" si="62"/>
        <v>1.2992032071749038E-4</v>
      </c>
      <c r="AP39" s="18">
        <f t="shared" si="62"/>
        <v>0</v>
      </c>
      <c r="AQ39" s="18">
        <f t="shared" si="62"/>
        <v>0</v>
      </c>
      <c r="AR39" s="18">
        <f t="shared" si="62"/>
        <v>2.7885990744879259E-5</v>
      </c>
      <c r="AS39" s="18">
        <f t="shared" si="62"/>
        <v>2.6364657430740342E-4</v>
      </c>
      <c r="AT39" s="18">
        <f t="shared" si="62"/>
        <v>0</v>
      </c>
      <c r="AU39" s="18">
        <f t="shared" si="62"/>
        <v>9.4941387262904403E-6</v>
      </c>
      <c r="AV39" s="18">
        <f t="shared" si="62"/>
        <v>0</v>
      </c>
      <c r="AW39" s="18">
        <f t="shared" si="62"/>
        <v>1.3887955701325218E-5</v>
      </c>
      <c r="AX39" s="18">
        <f t="shared" si="62"/>
        <v>2.0348444296675987E-5</v>
      </c>
      <c r="AY39" s="18">
        <f t="shared" si="62"/>
        <v>1.5522690802967704E-5</v>
      </c>
      <c r="AZ39" s="18">
        <f t="shared" si="62"/>
        <v>3.3220369585116604E-5</v>
      </c>
      <c r="BA39" s="18">
        <f t="shared" si="62"/>
        <v>0</v>
      </c>
      <c r="BB39" s="18">
        <f t="shared" si="62"/>
        <v>2.4012822759161887E-5</v>
      </c>
      <c r="BC39" s="18">
        <f t="shared" si="62"/>
        <v>0</v>
      </c>
      <c r="BD39" s="18">
        <f t="shared" si="62"/>
        <v>5.267770781656147E-5</v>
      </c>
      <c r="BE39" s="18">
        <f t="shared" si="62"/>
        <v>4.7790225687351601E-5</v>
      </c>
      <c r="BF39" s="18">
        <f t="shared" si="62"/>
        <v>1.469179570728359E-4</v>
      </c>
      <c r="BG39" s="18">
        <f t="shared" si="62"/>
        <v>1.7617087548034172E-4</v>
      </c>
      <c r="BH39" s="18">
        <f t="shared" si="62"/>
        <v>2.8205656251264528E-4</v>
      </c>
      <c r="BI39" s="18">
        <f t="shared" si="62"/>
        <v>9.5197793045453935E-5</v>
      </c>
      <c r="BJ39" s="18">
        <f t="shared" ref="BJ39:BM39" si="63">STDEV(BJ8,BJ10,BJ12)</f>
        <v>7.3587302207772938E-5</v>
      </c>
      <c r="BK39" s="18">
        <f t="shared" si="63"/>
        <v>0</v>
      </c>
      <c r="BL39" s="18">
        <f t="shared" si="63"/>
        <v>3.5291469276120002E-5</v>
      </c>
      <c r="BM39" s="18">
        <f t="shared" si="63"/>
        <v>0</v>
      </c>
    </row>
    <row r="40" spans="1:65" s="37" customFormat="1">
      <c r="A40" s="53"/>
      <c r="B40" s="53"/>
      <c r="C40" s="53"/>
      <c r="D40" s="53"/>
      <c r="E40" s="53"/>
      <c r="F40" s="54" t="s">
        <v>493</v>
      </c>
      <c r="G40" s="55">
        <f t="shared" ref="G40:AA40" si="64">G39/G38</f>
        <v>3.0985852341075894E-2</v>
      </c>
      <c r="H40" s="55">
        <f t="shared" si="64"/>
        <v>1.8784520893252533E-2</v>
      </c>
      <c r="I40" s="55">
        <f t="shared" si="64"/>
        <v>3.8286499983380858E-2</v>
      </c>
      <c r="J40" s="55">
        <f t="shared" si="64"/>
        <v>0.29410778668239146</v>
      </c>
      <c r="K40" s="55">
        <f t="shared" si="64"/>
        <v>0.31114141405890799</v>
      </c>
      <c r="L40" s="55">
        <f t="shared" si="64"/>
        <v>0.20167082333858719</v>
      </c>
      <c r="M40" s="55">
        <f t="shared" si="64"/>
        <v>0.23168012729737511</v>
      </c>
      <c r="N40" s="55">
        <f t="shared" si="64"/>
        <v>0.10202730041688123</v>
      </c>
      <c r="O40" s="55">
        <f t="shared" si="64"/>
        <v>0.21796213358180871</v>
      </c>
      <c r="P40" s="55">
        <f t="shared" si="64"/>
        <v>0.31200348181100701</v>
      </c>
      <c r="Q40" s="55">
        <f t="shared" si="64"/>
        <v>0.1686860420242717</v>
      </c>
      <c r="R40" s="55">
        <f t="shared" si="64"/>
        <v>0</v>
      </c>
      <c r="S40" s="55">
        <f t="shared" si="64"/>
        <v>3.9917408733212985E-2</v>
      </c>
      <c r="T40" s="55">
        <f t="shared" si="64"/>
        <v>0.42045141073682463</v>
      </c>
      <c r="U40" s="55">
        <f t="shared" si="64"/>
        <v>0.25147436833854619</v>
      </c>
      <c r="V40" s="55">
        <f t="shared" si="64"/>
        <v>0.86631087205330226</v>
      </c>
      <c r="W40" s="55">
        <f t="shared" si="64"/>
        <v>0.23164753137435387</v>
      </c>
      <c r="X40" s="55">
        <f t="shared" si="64"/>
        <v>0.93138571791052605</v>
      </c>
      <c r="Y40" s="55">
        <f t="shared" si="64"/>
        <v>0.67476207620728612</v>
      </c>
      <c r="Z40" s="55">
        <f t="shared" si="64"/>
        <v>0.67597210868387714</v>
      </c>
      <c r="AA40" s="55">
        <f t="shared" si="64"/>
        <v>0.12700218977993971</v>
      </c>
      <c r="AB40" s="55">
        <f>IF(AB39 &lt;=0,"",AB39/AB38)</f>
        <v>1.7320508075688774</v>
      </c>
      <c r="AC40" s="55">
        <f>IF(AC39 &lt;=0,"",AC39/AC38)</f>
        <v>1.7320508075688774</v>
      </c>
      <c r="AD40" s="55">
        <f>IF(AD39 &lt;=0,"",AD39/AD38)</f>
        <v>1.7320508075688776</v>
      </c>
      <c r="AE40" s="55">
        <f t="shared" ref="AE40" si="65">IF(AE39 &lt;=0,"",AE39/AE38)</f>
        <v>1.7320508075688774</v>
      </c>
      <c r="AF40" s="55">
        <f t="shared" ref="AF40" si="66">IF(AF39 &lt;=0,"",AF39/AF38)</f>
        <v>0.62232553958283088</v>
      </c>
      <c r="AG40" s="55">
        <f t="shared" ref="AG40" si="67">IF(AG39 &lt;=0,"",AG39/AG38)</f>
        <v>0.35867749109356578</v>
      </c>
      <c r="AH40" s="55">
        <f t="shared" ref="AH40" si="68">IF(AH39 &lt;=0,"",AH39/AH38)</f>
        <v>0.17321083187889241</v>
      </c>
      <c r="AI40" s="55">
        <f t="shared" ref="AI40" si="69">IF(AI39 &lt;=0,"",AI39/AI38)</f>
        <v>0.13626212750716266</v>
      </c>
      <c r="AJ40" s="55">
        <f t="shared" ref="AJ40" si="70">IF(AJ39 &lt;=0,"",AJ39/AJ38)</f>
        <v>0.68884139751142248</v>
      </c>
      <c r="AK40" s="55">
        <f t="shared" ref="AK40" si="71">IF(AK39 &lt;=0,"",AK39/AK38)</f>
        <v>1.3409142367480453</v>
      </c>
      <c r="AL40" s="55" t="str">
        <f t="shared" ref="AL40" si="72">IF(AL39 &lt;=0,"",AL39/AL38)</f>
        <v/>
      </c>
      <c r="AM40" s="55" t="str">
        <f t="shared" ref="AM40" si="73">IF(AM39 &lt;=0,"",AM39/AM38)</f>
        <v/>
      </c>
      <c r="AN40" s="55">
        <f t="shared" ref="AN40" si="74">IF(AN39 &lt;=0,"",AN39/AN38)</f>
        <v>1.1603136759940118</v>
      </c>
      <c r="AO40" s="55">
        <f t="shared" ref="AO40" si="75">IF(AO39 &lt;=0,"",AO39/AO38)</f>
        <v>1.7320508075688776</v>
      </c>
      <c r="AP40" s="55" t="str">
        <f t="shared" ref="AP40" si="76">IF(AP39 &lt;=0,"",AP39/AP38)</f>
        <v/>
      </c>
      <c r="AQ40" s="55" t="str">
        <f t="shared" ref="AQ40" si="77">IF(AQ39 &lt;=0,"",AQ39/AQ38)</f>
        <v/>
      </c>
      <c r="AR40" s="55">
        <f t="shared" ref="AR40" si="78">IF(AR39 &lt;=0,"",AR39/AR38)</f>
        <v>1.0719534008890652</v>
      </c>
      <c r="AS40" s="55">
        <f t="shared" ref="AS40" si="79">IF(AS39 &lt;=0,"",AS39/AS38)</f>
        <v>0.23952899679339329</v>
      </c>
      <c r="AT40" s="55" t="str">
        <f t="shared" ref="AT40" si="80">IF(AT39 &lt;=0,"",AT39/AT38)</f>
        <v/>
      </c>
      <c r="AU40" s="55">
        <f t="shared" ref="AU40" si="81">IF(AU39 &lt;=0,"",AU39/AU38)</f>
        <v>1.2227768684714302</v>
      </c>
      <c r="AV40" s="55" t="str">
        <f t="shared" ref="AV40" si="82">IF(AV39 &lt;=0,"",AV39/AV38)</f>
        <v/>
      </c>
      <c r="AW40" s="55">
        <f t="shared" ref="AW40" si="83">IF(AW39 &lt;=0,"",AW39/AW38)</f>
        <v>0.9687182179765027</v>
      </c>
      <c r="AX40" s="55">
        <f t="shared" ref="AX40" si="84">IF(AX39 &lt;=0,"",AX39/AX38)</f>
        <v>0.5353284820494848</v>
      </c>
      <c r="AY40" s="55">
        <f t="shared" ref="AY40" si="85">IF(AY39 &lt;=0,"",AY39/AY38)</f>
        <v>0.2101432294446525</v>
      </c>
      <c r="AZ40" s="55">
        <f t="shared" ref="AZ40" si="86">IF(AZ39 &lt;=0,"",AZ39/AZ38)</f>
        <v>1.2068949972466831</v>
      </c>
      <c r="BA40" s="55" t="str">
        <f t="shared" ref="BA40" si="87">IF(BA39 &lt;=0,"",BA39/BA38)</f>
        <v/>
      </c>
      <c r="BB40" s="55">
        <f t="shared" ref="BB40" si="88">IF(BB39 &lt;=0,"",BB39/BB38)</f>
        <v>1.7320508075688772</v>
      </c>
      <c r="BC40" s="55" t="str">
        <f t="shared" ref="BC40" si="89">IF(BC39 &lt;=0,"",BC39/BC38)</f>
        <v/>
      </c>
      <c r="BD40" s="55">
        <f t="shared" ref="BD40" si="90">IF(BD39 &lt;=0,"",BD39/BD38)</f>
        <v>1.732050807568877</v>
      </c>
      <c r="BE40" s="55">
        <f t="shared" ref="BE40" si="91">IF(BE39 &lt;=0,"",BE39/BE38)</f>
        <v>1.7320508075688772</v>
      </c>
      <c r="BF40" s="55">
        <f t="shared" ref="BF40" si="92">IF(BF39 &lt;=0,"",BF39/BF38)</f>
        <v>1.175525119429025</v>
      </c>
      <c r="BG40" s="55">
        <f t="shared" ref="BG40" si="93">IF(BG39 &lt;=0,"",BG39/BG38)</f>
        <v>1.3251572704439392</v>
      </c>
      <c r="BH40" s="55">
        <f t="shared" ref="BH40" si="94">IF(BH39 &lt;=0,"",BH39/BH38)</f>
        <v>1.4656104649102113</v>
      </c>
      <c r="BI40" s="55">
        <f t="shared" ref="BI40" si="95">IF(BI39 &lt;=0,"",BI39/BI38)</f>
        <v>1.2147939689741953</v>
      </c>
      <c r="BJ40" s="55">
        <f t="shared" ref="BJ40" si="96">IF(BJ39 &lt;=0,"",BJ39/BJ38)</f>
        <v>1.7320508075688772</v>
      </c>
      <c r="BK40" s="55" t="str">
        <f t="shared" ref="BK40" si="97">IF(BK39 &lt;=0,"",BK39/BK38)</f>
        <v/>
      </c>
      <c r="BL40" s="55">
        <f t="shared" ref="BL40" si="98">IF(BL39 &lt;=0,"",BL39/BL38)</f>
        <v>1.7320508075688774</v>
      </c>
      <c r="BM40" s="55" t="str">
        <f t="shared" ref="BM40" si="99">IF(BM39 &lt;=0,"",BM39/BM38)</f>
        <v/>
      </c>
    </row>
    <row r="41" spans="1:65">
      <c r="A41" s="20"/>
      <c r="B41" s="20"/>
      <c r="C41" s="20" t="s">
        <v>506</v>
      </c>
      <c r="D41" s="20" t="s">
        <v>501</v>
      </c>
      <c r="E41" s="23"/>
      <c r="F41" s="23" t="s">
        <v>502</v>
      </c>
      <c r="G41" s="80">
        <f t="shared" ref="G41:BI41" si="100">AVERAGE(G15,G17,G19,G21,G23)</f>
        <v>0.68658002264748308</v>
      </c>
      <c r="H41" s="80">
        <f t="shared" si="100"/>
        <v>0.93067355236181082</v>
      </c>
      <c r="I41" s="80">
        <f t="shared" si="100"/>
        <v>0.73809103668506726</v>
      </c>
      <c r="J41" s="81">
        <f t="shared" si="100"/>
        <v>76891.72257833599</v>
      </c>
      <c r="K41" s="81">
        <f t="shared" si="100"/>
        <v>112171.39051658609</v>
      </c>
      <c r="L41" s="9">
        <f t="shared" si="100"/>
        <v>3185.7946907121136</v>
      </c>
      <c r="M41" s="9">
        <f t="shared" si="100"/>
        <v>142.04796601518768</v>
      </c>
      <c r="N41" s="9">
        <f t="shared" si="100"/>
        <v>58.169679337670104</v>
      </c>
      <c r="O41" s="9">
        <f t="shared" si="100"/>
        <v>10.237232965556736</v>
      </c>
      <c r="P41" s="9">
        <f t="shared" si="100"/>
        <v>1.9304235846726345</v>
      </c>
      <c r="Q41" s="9">
        <f t="shared" si="100"/>
        <v>981.00393570358244</v>
      </c>
      <c r="R41" s="2">
        <f t="shared" si="100"/>
        <v>0.52010000000000001</v>
      </c>
      <c r="S41" s="2">
        <f t="shared" si="100"/>
        <v>1685.0142103815174</v>
      </c>
      <c r="T41" s="2">
        <f t="shared" si="100"/>
        <v>76.064059069135013</v>
      </c>
      <c r="U41" s="2">
        <f t="shared" si="100"/>
        <v>31.787243073081932</v>
      </c>
      <c r="V41" s="2">
        <f t="shared" si="100"/>
        <v>5.5051000001150125</v>
      </c>
      <c r="W41" s="2">
        <f t="shared" si="100"/>
        <v>1.0154171958703178</v>
      </c>
      <c r="X41" s="2">
        <f t="shared" si="100"/>
        <v>0.78065238756094701</v>
      </c>
      <c r="Y41" s="2">
        <f t="shared" si="100"/>
        <v>7.9955010469142449</v>
      </c>
      <c r="Z41" s="2">
        <f t="shared" si="100"/>
        <v>4.9945573040071114</v>
      </c>
      <c r="AA41" s="2">
        <f t="shared" si="100"/>
        <v>0.44463061264061537</v>
      </c>
      <c r="AB41" s="18">
        <f t="shared" si="100"/>
        <v>1.8126709572579339E-3</v>
      </c>
      <c r="AC41" s="18">
        <f t="shared" si="100"/>
        <v>2.0646058387470057E-4</v>
      </c>
      <c r="AD41" s="18">
        <f t="shared" si="100"/>
        <v>0</v>
      </c>
      <c r="AE41" s="18">
        <f t="shared" si="100"/>
        <v>1.7538371441439709E-3</v>
      </c>
      <c r="AF41" s="18">
        <f t="shared" si="100"/>
        <v>9.171006694495693E-5</v>
      </c>
      <c r="AG41" s="18">
        <f t="shared" si="100"/>
        <v>1.0350388708853598E-2</v>
      </c>
      <c r="AH41" s="18">
        <f t="shared" si="100"/>
        <v>1.6502652080329711E-2</v>
      </c>
      <c r="AI41" s="18">
        <f t="shared" si="100"/>
        <v>1.7331790036922083E-2</v>
      </c>
      <c r="AJ41" s="18">
        <f t="shared" si="100"/>
        <v>4.0944707525107388E-3</v>
      </c>
      <c r="AK41" s="18">
        <f t="shared" si="100"/>
        <v>7.3071462214842063E-5</v>
      </c>
      <c r="AL41" s="18">
        <f t="shared" si="100"/>
        <v>0</v>
      </c>
      <c r="AM41" s="18">
        <f t="shared" si="100"/>
        <v>8.8217959959346664E-4</v>
      </c>
      <c r="AN41" s="18">
        <f t="shared" si="100"/>
        <v>1.4840407450245535E-4</v>
      </c>
      <c r="AO41" s="18">
        <f t="shared" si="100"/>
        <v>2.3132943875499236E-3</v>
      </c>
      <c r="AP41" s="18">
        <f t="shared" si="100"/>
        <v>8.8910063867051382E-6</v>
      </c>
      <c r="AQ41" s="18">
        <f t="shared" si="100"/>
        <v>1.5106077260923747E-4</v>
      </c>
      <c r="AR41" s="18">
        <f t="shared" si="100"/>
        <v>1.1378195595754364E-5</v>
      </c>
      <c r="AS41" s="18">
        <f t="shared" si="100"/>
        <v>3.9018793552685919E-3</v>
      </c>
      <c r="AT41" s="18">
        <f t="shared" si="100"/>
        <v>5.3303275270617547E-6</v>
      </c>
      <c r="AU41" s="18">
        <f t="shared" si="100"/>
        <v>2.8045570081174107E-5</v>
      </c>
      <c r="AV41" s="18">
        <f t="shared" si="100"/>
        <v>1.3559212343433732E-5</v>
      </c>
      <c r="AW41" s="18">
        <f t="shared" si="100"/>
        <v>1.7505386163939695E-5</v>
      </c>
      <c r="AX41" s="18">
        <f t="shared" si="100"/>
        <v>4.104684734096987E-5</v>
      </c>
      <c r="AY41" s="18">
        <f t="shared" si="100"/>
        <v>1.1584446726136564E-5</v>
      </c>
      <c r="AZ41" s="18">
        <f t="shared" si="100"/>
        <v>0</v>
      </c>
      <c r="BA41" s="18">
        <f t="shared" si="100"/>
        <v>1.8746703520642465E-5</v>
      </c>
      <c r="BB41" s="18">
        <f t="shared" si="100"/>
        <v>4.2223727880504099E-5</v>
      </c>
      <c r="BC41" s="18">
        <f t="shared" si="100"/>
        <v>4.8583613970260805E-6</v>
      </c>
      <c r="BD41" s="18">
        <f t="shared" si="100"/>
        <v>1.5632796623624693E-4</v>
      </c>
      <c r="BE41" s="18">
        <f t="shared" si="100"/>
        <v>7.9645570853599973E-5</v>
      </c>
      <c r="BF41" s="18">
        <f t="shared" si="100"/>
        <v>3.2590969596833763E-4</v>
      </c>
      <c r="BG41" s="18">
        <f t="shared" si="100"/>
        <v>6.7660479395578526E-4</v>
      </c>
      <c r="BH41" s="18">
        <f t="shared" si="100"/>
        <v>8.1002580765822776E-4</v>
      </c>
      <c r="BI41" s="18">
        <f t="shared" si="100"/>
        <v>3.8224506801595829E-4</v>
      </c>
      <c r="BJ41" s="18">
        <f t="shared" ref="BJ41:BM41" si="101">AVERAGE(BJ15,BJ17,BJ19,BJ21,BJ23)</f>
        <v>0</v>
      </c>
      <c r="BK41" s="18">
        <f t="shared" si="101"/>
        <v>7.5263072520704519E-6</v>
      </c>
      <c r="BL41" s="18">
        <f t="shared" si="101"/>
        <v>5.8474156098303333E-5</v>
      </c>
      <c r="BM41" s="18">
        <f t="shared" si="101"/>
        <v>7.1406558404900648E-5</v>
      </c>
    </row>
    <row r="42" spans="1:65">
      <c r="A42" s="20"/>
      <c r="B42" s="20"/>
      <c r="C42" s="20"/>
      <c r="D42" s="20"/>
      <c r="E42" s="23"/>
      <c r="F42" s="23" t="s">
        <v>503</v>
      </c>
      <c r="G42" s="80">
        <f t="shared" ref="G42:BI42" si="102">STDEV(G15,G17,G19,G21,G23)</f>
        <v>9.2497097318984169E-3</v>
      </c>
      <c r="H42" s="80">
        <f t="shared" si="102"/>
        <v>2.9930957476237752E-2</v>
      </c>
      <c r="I42" s="80">
        <f t="shared" si="102"/>
        <v>1.4474925797529769E-2</v>
      </c>
      <c r="J42" s="81">
        <f t="shared" si="102"/>
        <v>24468.961211288544</v>
      </c>
      <c r="K42" s="81">
        <f t="shared" si="102"/>
        <v>36247.694619683876</v>
      </c>
      <c r="L42" s="9">
        <f t="shared" si="102"/>
        <v>802.94652231880684</v>
      </c>
      <c r="M42" s="9">
        <f t="shared" si="102"/>
        <v>59.466120869065996</v>
      </c>
      <c r="N42" s="9">
        <f t="shared" si="102"/>
        <v>31.40782278829737</v>
      </c>
      <c r="O42" s="9">
        <f t="shared" si="102"/>
        <v>6.0993008759554179</v>
      </c>
      <c r="P42" s="9">
        <f t="shared" si="102"/>
        <v>0.62672434954658207</v>
      </c>
      <c r="Q42" s="9">
        <f t="shared" si="102"/>
        <v>219.16243088675864</v>
      </c>
      <c r="R42" s="2">
        <f t="shared" si="102"/>
        <v>0</v>
      </c>
      <c r="S42" s="2">
        <f t="shared" si="102"/>
        <v>99.301439819004628</v>
      </c>
      <c r="T42" s="2">
        <f t="shared" si="102"/>
        <v>29.234552183748622</v>
      </c>
      <c r="U42" s="2">
        <f t="shared" si="102"/>
        <v>16.803742054098212</v>
      </c>
      <c r="V42" s="2">
        <f t="shared" si="102"/>
        <v>3.2729953066908646</v>
      </c>
      <c r="W42" s="2">
        <f t="shared" si="102"/>
        <v>0.14329542523616903</v>
      </c>
      <c r="X42" s="2">
        <f t="shared" si="102"/>
        <v>0.20025898337495626</v>
      </c>
      <c r="Y42" s="2">
        <f t="shared" si="102"/>
        <v>4.9618503741858673</v>
      </c>
      <c r="Z42" s="2">
        <f t="shared" si="102"/>
        <v>2.9027636719252401</v>
      </c>
      <c r="AA42" s="2">
        <f t="shared" si="102"/>
        <v>0.10857765032773425</v>
      </c>
      <c r="AB42" s="18">
        <f t="shared" si="102"/>
        <v>4.0532554812683563E-3</v>
      </c>
      <c r="AC42" s="18">
        <f t="shared" si="102"/>
        <v>4.6165990021812737E-4</v>
      </c>
      <c r="AD42" s="18">
        <f t="shared" si="102"/>
        <v>0</v>
      </c>
      <c r="AE42" s="18">
        <f t="shared" si="102"/>
        <v>2.434077809024307E-3</v>
      </c>
      <c r="AF42" s="18">
        <f t="shared" si="102"/>
        <v>1.8043101794175401E-4</v>
      </c>
      <c r="AG42" s="18">
        <f t="shared" si="102"/>
        <v>5.1951329454055445E-3</v>
      </c>
      <c r="AH42" s="18">
        <f t="shared" si="102"/>
        <v>8.9181860476887712E-3</v>
      </c>
      <c r="AI42" s="18">
        <f t="shared" si="102"/>
        <v>4.6402364300834843E-3</v>
      </c>
      <c r="AJ42" s="18">
        <f t="shared" si="102"/>
        <v>4.0186432293300087E-3</v>
      </c>
      <c r="AK42" s="18">
        <f t="shared" si="102"/>
        <v>7.6574491863461313E-5</v>
      </c>
      <c r="AL42" s="18">
        <f t="shared" si="102"/>
        <v>0</v>
      </c>
      <c r="AM42" s="18">
        <f t="shared" si="102"/>
        <v>1.8687026788443174E-3</v>
      </c>
      <c r="AN42" s="18">
        <f t="shared" si="102"/>
        <v>1.5564695369769263E-4</v>
      </c>
      <c r="AO42" s="18">
        <f t="shared" si="102"/>
        <v>4.0808155060610661E-3</v>
      </c>
      <c r="AP42" s="18">
        <f t="shared" si="102"/>
        <v>1.9880894669057469E-5</v>
      </c>
      <c r="AQ42" s="18">
        <f t="shared" si="102"/>
        <v>3.3778215628789328E-4</v>
      </c>
      <c r="AR42" s="18">
        <f t="shared" si="102"/>
        <v>2.5442418813395471E-5</v>
      </c>
      <c r="AS42" s="18">
        <f t="shared" si="102"/>
        <v>1.1552417382309716E-3</v>
      </c>
      <c r="AT42" s="18">
        <f t="shared" si="102"/>
        <v>1.1918974692848434E-5</v>
      </c>
      <c r="AU42" s="18">
        <f t="shared" si="102"/>
        <v>6.2711801169239596E-5</v>
      </c>
      <c r="AV42" s="18">
        <f t="shared" si="102"/>
        <v>2.3812161650363185E-5</v>
      </c>
      <c r="AW42" s="18">
        <f t="shared" si="102"/>
        <v>3.9143233434953436E-5</v>
      </c>
      <c r="AX42" s="18">
        <f t="shared" si="102"/>
        <v>5.7673968511075329E-5</v>
      </c>
      <c r="AY42" s="18">
        <f t="shared" si="102"/>
        <v>2.5903610361366249E-5</v>
      </c>
      <c r="AZ42" s="18">
        <f t="shared" si="102"/>
        <v>0</v>
      </c>
      <c r="BA42" s="18">
        <f t="shared" si="102"/>
        <v>4.1918903426191184E-5</v>
      </c>
      <c r="BB42" s="18">
        <f t="shared" si="102"/>
        <v>9.4415125804260289E-5</v>
      </c>
      <c r="BC42" s="18">
        <f t="shared" si="102"/>
        <v>1.0863626343011161E-5</v>
      </c>
      <c r="BD42" s="18">
        <f t="shared" si="102"/>
        <v>1.2504824525226148E-4</v>
      </c>
      <c r="BE42" s="18">
        <f t="shared" si="102"/>
        <v>1.3460956751598719E-4</v>
      </c>
      <c r="BF42" s="18">
        <f t="shared" si="102"/>
        <v>3.6136797771411846E-4</v>
      </c>
      <c r="BG42" s="18">
        <f t="shared" si="102"/>
        <v>6.2805221253857076E-4</v>
      </c>
      <c r="BH42" s="18">
        <f t="shared" si="102"/>
        <v>1.1863604836897632E-3</v>
      </c>
      <c r="BI42" s="18">
        <f t="shared" si="102"/>
        <v>5.3847394271749731E-4</v>
      </c>
      <c r="BJ42" s="18">
        <f t="shared" ref="BJ42:BM42" si="103">STDEV(BJ15,BJ17,BJ19,BJ21,BJ23)</f>
        <v>0</v>
      </c>
      <c r="BK42" s="18">
        <f t="shared" si="103"/>
        <v>1.6829334635179173E-5</v>
      </c>
      <c r="BL42" s="18">
        <f t="shared" si="103"/>
        <v>6.0927070497669281E-5</v>
      </c>
      <c r="BM42" s="18">
        <f t="shared" si="103"/>
        <v>1.2820727659870458E-4</v>
      </c>
    </row>
    <row r="43" spans="1:65" s="37" customFormat="1">
      <c r="A43" s="53"/>
      <c r="B43" s="53"/>
      <c r="C43" s="53"/>
      <c r="D43" s="53"/>
      <c r="E43" s="53"/>
      <c r="F43" s="54" t="s">
        <v>493</v>
      </c>
      <c r="G43" s="55">
        <f t="shared" ref="G43:AA43" si="104">G42/G41</f>
        <v>1.3472150990107642E-2</v>
      </c>
      <c r="H43" s="55">
        <f t="shared" si="104"/>
        <v>3.2160532982032912E-2</v>
      </c>
      <c r="I43" s="55">
        <f t="shared" si="104"/>
        <v>1.9611301422301393E-2</v>
      </c>
      <c r="J43" s="55">
        <f t="shared" si="104"/>
        <v>0.31822620681127256</v>
      </c>
      <c r="K43" s="55">
        <f t="shared" si="104"/>
        <v>0.32314562967215915</v>
      </c>
      <c r="L43" s="55">
        <f t="shared" si="104"/>
        <v>0.25203963226498</v>
      </c>
      <c r="M43" s="55">
        <f t="shared" si="104"/>
        <v>0.41863408915484163</v>
      </c>
      <c r="N43" s="55">
        <f t="shared" si="104"/>
        <v>0.53993460417716244</v>
      </c>
      <c r="O43" s="55">
        <f t="shared" si="104"/>
        <v>0.5957958460529883</v>
      </c>
      <c r="P43" s="55">
        <f t="shared" si="104"/>
        <v>0.32465638864066371</v>
      </c>
      <c r="Q43" s="55">
        <f t="shared" si="104"/>
        <v>0.22340627077053868</v>
      </c>
      <c r="R43" s="55">
        <f t="shared" si="104"/>
        <v>0</v>
      </c>
      <c r="S43" s="55">
        <f t="shared" si="104"/>
        <v>5.8932108232203573E-2</v>
      </c>
      <c r="T43" s="55">
        <f t="shared" si="104"/>
        <v>0.38434120584042442</v>
      </c>
      <c r="U43" s="55">
        <f t="shared" si="104"/>
        <v>0.5286316279604617</v>
      </c>
      <c r="V43" s="55">
        <f t="shared" si="104"/>
        <v>0.59453875617563445</v>
      </c>
      <c r="W43" s="55">
        <f t="shared" si="104"/>
        <v>0.14111975434230262</v>
      </c>
      <c r="X43" s="55">
        <f t="shared" si="104"/>
        <v>0.25652772804633439</v>
      </c>
      <c r="Y43" s="55">
        <f t="shared" si="104"/>
        <v>0.62058029197567621</v>
      </c>
      <c r="Z43" s="55">
        <f t="shared" si="104"/>
        <v>0.58118537745004262</v>
      </c>
      <c r="AA43" s="55">
        <f t="shared" si="104"/>
        <v>0.24419742420096263</v>
      </c>
      <c r="AB43" s="55">
        <f>IF(AB42 &lt;=0,"",AB42/AB41)</f>
        <v>2.2360679774997898</v>
      </c>
      <c r="AC43" s="55">
        <f>IF(AC42 &lt;=0,"",AC42/AC41)</f>
        <v>2.2360679774997898</v>
      </c>
      <c r="AD43" s="55" t="str">
        <f>IF(AD42 &lt;=0,"",AD42/AD41)</f>
        <v/>
      </c>
      <c r="AE43" s="55">
        <f t="shared" ref="AE43" si="105">IF(AE42 &lt;=0,"",AE42/AE41)</f>
        <v>1.3878585119215012</v>
      </c>
      <c r="AF43" s="55">
        <f t="shared" ref="AF43" si="106">IF(AF42 &lt;=0,"",AF42/AF41)</f>
        <v>1.9674068938369234</v>
      </c>
      <c r="AG43" s="55">
        <f t="shared" ref="AG43" si="107">IF(AG42 &lt;=0,"",AG42/AG41)</f>
        <v>0.50192636156376336</v>
      </c>
      <c r="AH43" s="55">
        <f t="shared" ref="AH43" si="108">IF(AH42 &lt;=0,"",AH42/AH41)</f>
        <v>0.54040926296439207</v>
      </c>
      <c r="AI43" s="55">
        <f t="shared" ref="AI43" si="109">IF(AI42 &lt;=0,"",AI42/AI41)</f>
        <v>0.26772978556735011</v>
      </c>
      <c r="AJ43" s="55">
        <f t="shared" ref="AJ43" si="110">IF(AJ42 &lt;=0,"",AJ42/AJ41)</f>
        <v>0.98148050681904797</v>
      </c>
      <c r="AK43" s="55">
        <f t="shared" ref="AK43" si="111">IF(AK42 &lt;=0,"",AK42/AK41)</f>
        <v>1.0479397776155042</v>
      </c>
      <c r="AL43" s="55" t="str">
        <f t="shared" ref="AL43" si="112">IF(AL42 &lt;=0,"",AL42/AL41)</f>
        <v/>
      </c>
      <c r="AM43" s="55">
        <f t="shared" ref="AM43" si="113">IF(AM42 &lt;=0,"",AM42/AM41)</f>
        <v>2.1182791800053735</v>
      </c>
      <c r="AN43" s="55">
        <f t="shared" ref="AN43" si="114">IF(AN42 &lt;=0,"",AN42/AN41)</f>
        <v>1.048805123575751</v>
      </c>
      <c r="AO43" s="55">
        <f t="shared" ref="AO43" si="115">IF(AO42 &lt;=0,"",AO42/AO41)</f>
        <v>1.7640709837986399</v>
      </c>
      <c r="AP43" s="55">
        <f t="shared" ref="AP43" si="116">IF(AP42 &lt;=0,"",AP42/AP41)</f>
        <v>2.2360679774997894</v>
      </c>
      <c r="AQ43" s="55">
        <f t="shared" ref="AQ43" si="117">IF(AQ42 &lt;=0,"",AQ42/AQ41)</f>
        <v>2.2360679774997898</v>
      </c>
      <c r="AR43" s="55">
        <f t="shared" ref="AR43" si="118">IF(AR42 &lt;=0,"",AR42/AR41)</f>
        <v>2.2360679774997894</v>
      </c>
      <c r="AS43" s="55">
        <f t="shared" ref="AS43" si="119">IF(AS42 &lt;=0,"",AS42/AS41)</f>
        <v>0.29607315681636415</v>
      </c>
      <c r="AT43" s="55">
        <f t="shared" ref="AT43" si="120">IF(AT42 &lt;=0,"",AT42/AT41)</f>
        <v>2.2360679774997898</v>
      </c>
      <c r="AU43" s="55">
        <f t="shared" ref="AU43" si="121">IF(AU42 &lt;=0,"",AU42/AU41)</f>
        <v>2.2360679774997898</v>
      </c>
      <c r="AV43" s="55">
        <f t="shared" ref="AV43" si="122">IF(AV42 &lt;=0,"",AV42/AV41)</f>
        <v>1.7561611284813761</v>
      </c>
      <c r="AW43" s="55">
        <f t="shared" ref="AW43" si="123">IF(AW42 &lt;=0,"",AW42/AW41)</f>
        <v>2.2360679774997898</v>
      </c>
      <c r="AX43" s="55">
        <f t="shared" ref="AX43" si="124">IF(AX42 &lt;=0,"",AX42/AX41)</f>
        <v>1.4050766927843814</v>
      </c>
      <c r="AY43" s="55">
        <f t="shared" ref="AY43" si="125">IF(AY42 &lt;=0,"",AY42/AY41)</f>
        <v>2.2360679774997898</v>
      </c>
      <c r="AZ43" s="55" t="str">
        <f t="shared" ref="AZ43" si="126">IF(AZ42 &lt;=0,"",AZ42/AZ41)</f>
        <v/>
      </c>
      <c r="BA43" s="55">
        <f t="shared" ref="BA43" si="127">IF(BA42 &lt;=0,"",BA42/BA41)</f>
        <v>2.2360679774997898</v>
      </c>
      <c r="BB43" s="55">
        <f t="shared" ref="BB43" si="128">IF(BB42 &lt;=0,"",BB42/BB41)</f>
        <v>2.2360679774997898</v>
      </c>
      <c r="BC43" s="55">
        <f t="shared" ref="BC43" si="129">IF(BC42 &lt;=0,"",BC42/BC41)</f>
        <v>2.2360679774997898</v>
      </c>
      <c r="BD43" s="55">
        <f t="shared" ref="BD43" si="130">IF(BD42 &lt;=0,"",BD42/BD41)</f>
        <v>0.7999096275792732</v>
      </c>
      <c r="BE43" s="55">
        <f t="shared" ref="BE43" si="131">IF(BE42 &lt;=0,"",BE42/BE41)</f>
        <v>1.6901073854240929</v>
      </c>
      <c r="BF43" s="55">
        <f t="shared" ref="BF43" si="132">IF(BF42 &lt;=0,"",BF42/BF41)</f>
        <v>1.1087978731053942</v>
      </c>
      <c r="BG43" s="55">
        <f t="shared" ref="BG43" si="133">IF(BG42 &lt;=0,"",BG42/BG41)</f>
        <v>0.92824085514772847</v>
      </c>
      <c r="BH43" s="55">
        <f t="shared" ref="BH43" si="134">IF(BH42 &lt;=0,"",BH42/BH41)</f>
        <v>1.4645959085174252</v>
      </c>
      <c r="BI43" s="55">
        <f t="shared" ref="BI43" si="135">IF(BI42 &lt;=0,"",BI42/BI41)</f>
        <v>1.4087139057475468</v>
      </c>
      <c r="BJ43" s="55" t="str">
        <f t="shared" ref="BJ43" si="136">IF(BJ42 &lt;=0,"",BJ42/BJ41)</f>
        <v/>
      </c>
      <c r="BK43" s="55">
        <f t="shared" ref="BK43" si="137">IF(BK42 &lt;=0,"",BK42/BK41)</f>
        <v>2.2360679774997894</v>
      </c>
      <c r="BL43" s="55">
        <f t="shared" ref="BL43" si="138">IF(BL42 &lt;=0,"",BL42/BL41)</f>
        <v>1.0419486926026302</v>
      </c>
      <c r="BM43" s="55">
        <f t="shared" ref="BM43" si="139">IF(BM42 &lt;=0,"",BM42/BM41)</f>
        <v>1.7954551999512931</v>
      </c>
    </row>
    <row r="44" spans="1:65">
      <c r="A44" s="20"/>
      <c r="B44" s="20"/>
      <c r="C44" s="20" t="s">
        <v>506</v>
      </c>
      <c r="D44" s="20" t="s">
        <v>504</v>
      </c>
      <c r="E44" s="23"/>
      <c r="F44" s="23" t="s">
        <v>502</v>
      </c>
      <c r="G44" s="80">
        <f t="shared" ref="G44:BI44" si="140">AVERAGE(G16,G24)</f>
        <v>0.78547119842750612</v>
      </c>
      <c r="H44" s="80">
        <f t="shared" si="140"/>
        <v>0.98592380358628562</v>
      </c>
      <c r="I44" s="80">
        <f t="shared" si="140"/>
        <v>0.7966808746883931</v>
      </c>
      <c r="J44" s="81">
        <f t="shared" si="140"/>
        <v>45153.26177734114</v>
      </c>
      <c r="K44" s="81">
        <f t="shared" si="140"/>
        <v>57476.863270315931</v>
      </c>
      <c r="L44" s="9">
        <f t="shared" si="140"/>
        <v>1946.2195269403649</v>
      </c>
      <c r="M44" s="9">
        <f t="shared" si="140"/>
        <v>25.924661636196518</v>
      </c>
      <c r="N44" s="9">
        <f t="shared" si="140"/>
        <v>17.411693858456363</v>
      </c>
      <c r="O44" s="9">
        <f t="shared" si="140"/>
        <v>7.3053884204827426</v>
      </c>
      <c r="P44" s="9">
        <f t="shared" si="140"/>
        <v>1.4658411377605964</v>
      </c>
      <c r="Q44" s="9">
        <f t="shared" si="140"/>
        <v>560.42394579735992</v>
      </c>
      <c r="R44" s="2">
        <f t="shared" si="140"/>
        <v>0.52010000000000001</v>
      </c>
      <c r="S44" s="2">
        <f t="shared" si="140"/>
        <v>1805.8047035247751</v>
      </c>
      <c r="T44" s="2">
        <f t="shared" si="140"/>
        <v>24.154054779049975</v>
      </c>
      <c r="U44" s="2">
        <f t="shared" si="140"/>
        <v>16.231906190559478</v>
      </c>
      <c r="V44" s="2">
        <f t="shared" si="140"/>
        <v>6.7905676909556245</v>
      </c>
      <c r="W44" s="2">
        <f t="shared" si="140"/>
        <v>1.3629442595950352</v>
      </c>
      <c r="X44" s="2">
        <f t="shared" si="140"/>
        <v>0.31487891987788663</v>
      </c>
      <c r="Y44" s="2">
        <f t="shared" si="140"/>
        <v>2.496762340202034</v>
      </c>
      <c r="Z44" s="2">
        <f t="shared" si="140"/>
        <v>0.79619677208422757</v>
      </c>
      <c r="AA44" s="2">
        <f t="shared" si="140"/>
        <v>0.14748289834905709</v>
      </c>
      <c r="AB44" s="18">
        <f t="shared" si="140"/>
        <v>3.8176648501271897E-4</v>
      </c>
      <c r="AC44" s="18">
        <f t="shared" si="140"/>
        <v>0</v>
      </c>
      <c r="AD44" s="18">
        <f t="shared" si="140"/>
        <v>0</v>
      </c>
      <c r="AE44" s="18">
        <f t="shared" si="140"/>
        <v>9.8346139154591492E-5</v>
      </c>
      <c r="AF44" s="18">
        <f t="shared" si="140"/>
        <v>0</v>
      </c>
      <c r="AG44" s="18">
        <f t="shared" si="140"/>
        <v>7.1439912750201088E-3</v>
      </c>
      <c r="AH44" s="18">
        <f t="shared" si="140"/>
        <v>7.5550725171106784E-3</v>
      </c>
      <c r="AI44" s="18">
        <f t="shared" si="140"/>
        <v>1.3733711925595866E-2</v>
      </c>
      <c r="AJ44" s="18">
        <f t="shared" si="140"/>
        <v>4.0198665049281934E-4</v>
      </c>
      <c r="AK44" s="18">
        <f t="shared" si="140"/>
        <v>0</v>
      </c>
      <c r="AL44" s="18">
        <f t="shared" si="140"/>
        <v>0</v>
      </c>
      <c r="AM44" s="18">
        <f t="shared" si="140"/>
        <v>3.8615769660332622E-4</v>
      </c>
      <c r="AN44" s="18">
        <f t="shared" si="140"/>
        <v>7.3390158202469539E-6</v>
      </c>
      <c r="AO44" s="18">
        <f t="shared" si="140"/>
        <v>1.5793785106138936E-4</v>
      </c>
      <c r="AP44" s="18">
        <f t="shared" si="140"/>
        <v>0</v>
      </c>
      <c r="AQ44" s="18">
        <f t="shared" si="140"/>
        <v>0</v>
      </c>
      <c r="AR44" s="18">
        <f t="shared" si="140"/>
        <v>7.4608342693776135E-6</v>
      </c>
      <c r="AS44" s="18">
        <f t="shared" si="140"/>
        <v>3.0184563043956112E-3</v>
      </c>
      <c r="AT44" s="18">
        <f t="shared" si="140"/>
        <v>0</v>
      </c>
      <c r="AU44" s="18">
        <f t="shared" si="140"/>
        <v>0</v>
      </c>
      <c r="AV44" s="18">
        <f t="shared" si="140"/>
        <v>0</v>
      </c>
      <c r="AW44" s="18">
        <f t="shared" si="140"/>
        <v>5.0470349469319154E-6</v>
      </c>
      <c r="AX44" s="18">
        <f t="shared" si="140"/>
        <v>1.4387616605986151E-5</v>
      </c>
      <c r="AY44" s="18">
        <f t="shared" si="140"/>
        <v>5.4553485144263065E-5</v>
      </c>
      <c r="AZ44" s="18">
        <f t="shared" si="140"/>
        <v>0</v>
      </c>
      <c r="BA44" s="18">
        <f t="shared" si="140"/>
        <v>1.1131734034795002E-6</v>
      </c>
      <c r="BB44" s="18">
        <f t="shared" si="140"/>
        <v>0</v>
      </c>
      <c r="BC44" s="18">
        <f t="shared" si="140"/>
        <v>0</v>
      </c>
      <c r="BD44" s="18">
        <f t="shared" si="140"/>
        <v>0</v>
      </c>
      <c r="BE44" s="18">
        <f t="shared" si="140"/>
        <v>0</v>
      </c>
      <c r="BF44" s="18">
        <f t="shared" si="140"/>
        <v>4.9678950171623654E-5</v>
      </c>
      <c r="BG44" s="18">
        <f t="shared" si="140"/>
        <v>0</v>
      </c>
      <c r="BH44" s="18">
        <f t="shared" si="140"/>
        <v>1.0423224346924604E-4</v>
      </c>
      <c r="BI44" s="18">
        <f t="shared" si="140"/>
        <v>4.9592604261157064E-5</v>
      </c>
      <c r="BJ44" s="18">
        <f t="shared" ref="BJ44:BM44" si="141">AVERAGE(BJ16,BJ24)</f>
        <v>3.071941382548953E-5</v>
      </c>
      <c r="BK44" s="18">
        <f t="shared" si="141"/>
        <v>2.077514077212878E-5</v>
      </c>
      <c r="BL44" s="18">
        <f t="shared" si="141"/>
        <v>0</v>
      </c>
      <c r="BM44" s="18">
        <f t="shared" si="141"/>
        <v>2.8503755781345718E-5</v>
      </c>
    </row>
    <row r="45" spans="1:65">
      <c r="A45" s="20"/>
      <c r="B45" s="20"/>
      <c r="C45" s="20"/>
      <c r="D45" s="20"/>
      <c r="E45" s="23"/>
      <c r="F45" s="23" t="s">
        <v>503</v>
      </c>
      <c r="G45" s="80">
        <f t="shared" ref="G45:AA45" si="142">ABS(G16-G24)/(0.5*(G16+G24))</f>
        <v>1.0682792155256117E-2</v>
      </c>
      <c r="H45" s="80">
        <f t="shared" si="142"/>
        <v>3.0375373769382019E-3</v>
      </c>
      <c r="I45" s="80">
        <f t="shared" si="142"/>
        <v>7.645316799766314E-3</v>
      </c>
      <c r="J45" s="81">
        <f>ABS(J16-J24)/(0.5*(J16+J24))</f>
        <v>6.7411095432965112E-2</v>
      </c>
      <c r="K45" s="81">
        <f>ABS(K16-K24)/(0.5*(K16+K24))</f>
        <v>5.6738518178693728E-2</v>
      </c>
      <c r="L45" s="9">
        <f t="shared" si="142"/>
        <v>7.9921513465372282E-2</v>
      </c>
      <c r="M45" s="9">
        <f t="shared" si="142"/>
        <v>0.16563298455222589</v>
      </c>
      <c r="N45" s="9">
        <f t="shared" si="142"/>
        <v>0.20006880428604681</v>
      </c>
      <c r="O45" s="9">
        <f t="shared" si="142"/>
        <v>2.7000304432869892E-2</v>
      </c>
      <c r="P45" s="9">
        <f t="shared" si="142"/>
        <v>4.4536473541465893E-2</v>
      </c>
      <c r="Q45" s="9">
        <f t="shared" si="142"/>
        <v>6.7488499227520912E-2</v>
      </c>
      <c r="R45" s="2">
        <f t="shared" si="142"/>
        <v>0</v>
      </c>
      <c r="S45" s="2">
        <f t="shared" si="142"/>
        <v>1.2449802120608281E-2</v>
      </c>
      <c r="T45" s="2">
        <f t="shared" si="142"/>
        <v>0.23247182258370769</v>
      </c>
      <c r="U45" s="2">
        <f t="shared" si="142"/>
        <v>0.26665717931603344</v>
      </c>
      <c r="V45" s="2">
        <f t="shared" si="142"/>
        <v>9.444577864922564E-2</v>
      </c>
      <c r="W45" s="2">
        <f t="shared" si="142"/>
        <v>0.11194085761676309</v>
      </c>
      <c r="X45" s="2">
        <f t="shared" si="142"/>
        <v>0.2348980654612515</v>
      </c>
      <c r="Y45" s="2">
        <f t="shared" si="142"/>
        <v>5.943102114566455E-2</v>
      </c>
      <c r="Z45" s="2">
        <f t="shared" si="142"/>
        <v>0.63147807809322398</v>
      </c>
      <c r="AA45" s="2">
        <f t="shared" si="142"/>
        <v>0.5244646870624704</v>
      </c>
      <c r="AB45" s="18">
        <f>IF(AB44&lt;=0,"",ABS(AB16-AB24)/(0.5*(AB16+AB24)))</f>
        <v>2</v>
      </c>
      <c r="AC45" s="18" t="str">
        <f t="shared" ref="AC45:BM45" si="143">IF(AC44&lt;=0,"",ABS(AC16-AC24)/(0.5*(AC16+AC24)))</f>
        <v/>
      </c>
      <c r="AD45" s="18" t="str">
        <f t="shared" si="143"/>
        <v/>
      </c>
      <c r="AE45" s="18">
        <f t="shared" si="143"/>
        <v>2</v>
      </c>
      <c r="AF45" s="18" t="str">
        <f t="shared" si="143"/>
        <v/>
      </c>
      <c r="AG45" s="18">
        <f t="shared" si="143"/>
        <v>4.8902045517823997E-2</v>
      </c>
      <c r="AH45" s="18">
        <f t="shared" si="143"/>
        <v>0.10426513908968398</v>
      </c>
      <c r="AI45" s="18">
        <f t="shared" si="143"/>
        <v>0.26270454557772005</v>
      </c>
      <c r="AJ45" s="18">
        <f t="shared" si="143"/>
        <v>2</v>
      </c>
      <c r="AK45" s="18" t="str">
        <f t="shared" si="143"/>
        <v/>
      </c>
      <c r="AL45" s="18" t="str">
        <f t="shared" si="143"/>
        <v/>
      </c>
      <c r="AM45" s="18">
        <f t="shared" si="143"/>
        <v>0.78078180080865267</v>
      </c>
      <c r="AN45" s="18">
        <f t="shared" si="143"/>
        <v>2</v>
      </c>
      <c r="AO45" s="18">
        <f t="shared" si="143"/>
        <v>2</v>
      </c>
      <c r="AP45" s="18" t="str">
        <f t="shared" si="143"/>
        <v/>
      </c>
      <c r="AQ45" s="18" t="str">
        <f t="shared" si="143"/>
        <v/>
      </c>
      <c r="AR45" s="18">
        <f t="shared" si="143"/>
        <v>2</v>
      </c>
      <c r="AS45" s="18">
        <f t="shared" si="143"/>
        <v>0.31668087310489124</v>
      </c>
      <c r="AT45" s="18" t="str">
        <f t="shared" si="143"/>
        <v/>
      </c>
      <c r="AU45" s="18" t="str">
        <f t="shared" si="143"/>
        <v/>
      </c>
      <c r="AV45" s="18" t="str">
        <f t="shared" si="143"/>
        <v/>
      </c>
      <c r="AW45" s="18">
        <f t="shared" si="143"/>
        <v>2</v>
      </c>
      <c r="AX45" s="18">
        <f t="shared" si="143"/>
        <v>1.2056612746733362</v>
      </c>
      <c r="AY45" s="18">
        <f t="shared" si="143"/>
        <v>0.36517511683473891</v>
      </c>
      <c r="AZ45" s="18" t="str">
        <f t="shared" si="143"/>
        <v/>
      </c>
      <c r="BA45" s="18">
        <f t="shared" si="143"/>
        <v>2</v>
      </c>
      <c r="BB45" s="18" t="str">
        <f t="shared" si="143"/>
        <v/>
      </c>
      <c r="BC45" s="18" t="str">
        <f t="shared" si="143"/>
        <v/>
      </c>
      <c r="BD45" s="18" t="str">
        <f t="shared" si="143"/>
        <v/>
      </c>
      <c r="BE45" s="18" t="str">
        <f t="shared" si="143"/>
        <v/>
      </c>
      <c r="BF45" s="18">
        <f t="shared" si="143"/>
        <v>2</v>
      </c>
      <c r="BG45" s="18" t="str">
        <f t="shared" si="143"/>
        <v/>
      </c>
      <c r="BH45" s="18">
        <f t="shared" si="143"/>
        <v>2</v>
      </c>
      <c r="BI45" s="18">
        <f t="shared" si="143"/>
        <v>2</v>
      </c>
      <c r="BJ45" s="18">
        <f t="shared" si="143"/>
        <v>2</v>
      </c>
      <c r="BK45" s="18">
        <f t="shared" si="143"/>
        <v>2</v>
      </c>
      <c r="BL45" s="18" t="str">
        <f t="shared" si="143"/>
        <v/>
      </c>
      <c r="BM45" s="18">
        <f t="shared" si="143"/>
        <v>0.58894180910069827</v>
      </c>
    </row>
    <row r="46" spans="1:65" s="37" customFormat="1">
      <c r="A46" s="53"/>
      <c r="B46" s="53"/>
      <c r="C46" s="53"/>
      <c r="D46" s="53"/>
      <c r="E46" s="53"/>
      <c r="F46" s="54" t="s">
        <v>493</v>
      </c>
      <c r="G46" s="55">
        <f t="shared" ref="G46:AA46" si="144">G45/G44</f>
        <v>1.3600488696011773E-2</v>
      </c>
      <c r="H46" s="55">
        <f t="shared" si="144"/>
        <v>3.0809047980069021E-3</v>
      </c>
      <c r="I46" s="55">
        <f t="shared" si="144"/>
        <v>9.5964608197186066E-3</v>
      </c>
      <c r="J46" s="55">
        <f t="shared" si="144"/>
        <v>1.4929396632602391E-6</v>
      </c>
      <c r="K46" s="55">
        <f t="shared" si="144"/>
        <v>9.8715404687013387E-7</v>
      </c>
      <c r="L46" s="55">
        <f t="shared" si="144"/>
        <v>4.1065004414489771E-5</v>
      </c>
      <c r="M46" s="55">
        <f t="shared" si="144"/>
        <v>6.3890123958634769E-3</v>
      </c>
      <c r="N46" s="55">
        <f t="shared" si="144"/>
        <v>1.149048483808938E-2</v>
      </c>
      <c r="O46" s="55">
        <f t="shared" si="144"/>
        <v>3.6959437169920804E-3</v>
      </c>
      <c r="P46" s="55">
        <f t="shared" si="144"/>
        <v>3.0382878740533522E-2</v>
      </c>
      <c r="Q46" s="55">
        <f t="shared" si="144"/>
        <v>1.2042401066838718E-4</v>
      </c>
      <c r="R46" s="55">
        <f t="shared" si="144"/>
        <v>0</v>
      </c>
      <c r="S46" s="55">
        <f t="shared" si="144"/>
        <v>6.8943236753716177E-6</v>
      </c>
      <c r="T46" s="55">
        <f t="shared" si="144"/>
        <v>9.6245464668458965E-3</v>
      </c>
      <c r="U46" s="55">
        <f t="shared" si="144"/>
        <v>1.6427964540056423E-2</v>
      </c>
      <c r="V46" s="55">
        <f t="shared" si="144"/>
        <v>1.3908377465262326E-2</v>
      </c>
      <c r="W46" s="55">
        <f t="shared" si="144"/>
        <v>8.2131647592120549E-2</v>
      </c>
      <c r="X46" s="55">
        <f t="shared" si="144"/>
        <v>0.74599489083723813</v>
      </c>
      <c r="Y46" s="55">
        <f t="shared" si="144"/>
        <v>2.3803235169293481E-2</v>
      </c>
      <c r="Z46" s="55">
        <f t="shared" si="144"/>
        <v>0.79311810878130706</v>
      </c>
      <c r="AA46" s="55">
        <f t="shared" si="144"/>
        <v>3.5561051005465507</v>
      </c>
      <c r="AB46" s="55">
        <f>IF(AB44 &lt;=0,"",AB45/AB44)</f>
        <v>5238.8045533472323</v>
      </c>
      <c r="AC46" s="55" t="str">
        <f t="shared" ref="AC46:BM46" si="145">IF(AC44 &lt;=0,"",AC45/AC44)</f>
        <v/>
      </c>
      <c r="AD46" s="55" t="str">
        <f t="shared" si="145"/>
        <v/>
      </c>
      <c r="AE46" s="55">
        <f t="shared" si="145"/>
        <v>20336.334676607647</v>
      </c>
      <c r="AF46" s="55" t="str">
        <f t="shared" si="145"/>
        <v/>
      </c>
      <c r="AG46" s="55">
        <f t="shared" si="145"/>
        <v>6.8451995019669658</v>
      </c>
      <c r="AH46" s="55">
        <f t="shared" si="145"/>
        <v>13.800680119687135</v>
      </c>
      <c r="AI46" s="55">
        <f t="shared" si="145"/>
        <v>19.1284444439315</v>
      </c>
      <c r="AJ46" s="55">
        <f t="shared" si="145"/>
        <v>4975.2895961795775</v>
      </c>
      <c r="AK46" s="55" t="str">
        <f t="shared" si="145"/>
        <v/>
      </c>
      <c r="AL46" s="55" t="str">
        <f t="shared" si="145"/>
        <v/>
      </c>
      <c r="AM46" s="55">
        <f t="shared" si="145"/>
        <v>2021.9247413076871</v>
      </c>
      <c r="AN46" s="55">
        <f t="shared" si="145"/>
        <v>272516.1042005631</v>
      </c>
      <c r="AO46" s="55">
        <f t="shared" si="145"/>
        <v>12663.20889235484</v>
      </c>
      <c r="AP46" s="55" t="str">
        <f t="shared" si="145"/>
        <v/>
      </c>
      <c r="AQ46" s="55" t="str">
        <f t="shared" si="145"/>
        <v/>
      </c>
      <c r="AR46" s="55">
        <f t="shared" si="145"/>
        <v>268066.53623293003</v>
      </c>
      <c r="AS46" s="55">
        <f t="shared" si="145"/>
        <v>104.91484426782205</v>
      </c>
      <c r="AT46" s="55" t="str">
        <f t="shared" si="145"/>
        <v/>
      </c>
      <c r="AU46" s="55" t="str">
        <f t="shared" si="145"/>
        <v/>
      </c>
      <c r="AV46" s="55" t="str">
        <f t="shared" si="145"/>
        <v/>
      </c>
      <c r="AW46" s="55">
        <f t="shared" si="145"/>
        <v>396272.27095302695</v>
      </c>
      <c r="AX46" s="55">
        <f t="shared" si="145"/>
        <v>83798.540626367918</v>
      </c>
      <c r="AY46" s="55">
        <f t="shared" si="145"/>
        <v>6693.8916160728795</v>
      </c>
      <c r="AZ46" s="55" t="str">
        <f t="shared" si="145"/>
        <v/>
      </c>
      <c r="BA46" s="55">
        <f t="shared" si="145"/>
        <v>1796665.2758218106</v>
      </c>
      <c r="BB46" s="55" t="str">
        <f t="shared" si="145"/>
        <v/>
      </c>
      <c r="BC46" s="55" t="str">
        <f t="shared" si="145"/>
        <v/>
      </c>
      <c r="BD46" s="55" t="str">
        <f t="shared" si="145"/>
        <v/>
      </c>
      <c r="BE46" s="55" t="str">
        <f t="shared" si="145"/>
        <v/>
      </c>
      <c r="BF46" s="55">
        <f t="shared" si="145"/>
        <v>40258.49968831244</v>
      </c>
      <c r="BG46" s="55" t="str">
        <f t="shared" si="145"/>
        <v/>
      </c>
      <c r="BH46" s="55">
        <f t="shared" si="145"/>
        <v>19187.920488251839</v>
      </c>
      <c r="BI46" s="55">
        <f t="shared" si="145"/>
        <v>40328.593946547007</v>
      </c>
      <c r="BJ46" s="55">
        <f t="shared" si="145"/>
        <v>65105.408956094521</v>
      </c>
      <c r="BK46" s="55">
        <f t="shared" si="145"/>
        <v>96268.902431849303</v>
      </c>
      <c r="BL46" s="55" t="str">
        <f t="shared" si="145"/>
        <v/>
      </c>
      <c r="BM46" s="55">
        <f t="shared" si="145"/>
        <v>20661.902018053748</v>
      </c>
    </row>
    <row r="47" spans="1:65">
      <c r="A47" s="20"/>
      <c r="B47" s="20"/>
      <c r="C47" s="20" t="s">
        <v>506</v>
      </c>
      <c r="D47" s="20" t="s">
        <v>505</v>
      </c>
      <c r="E47" s="23"/>
      <c r="F47" s="23" t="s">
        <v>502</v>
      </c>
      <c r="G47" s="80">
        <f t="shared" ref="G47:BI47" si="146">AVERAGE(G18,G20,G22)</f>
        <v>0.80748994043294353</v>
      </c>
      <c r="H47" s="80">
        <f t="shared" si="146"/>
        <v>0.98677598051762949</v>
      </c>
      <c r="I47" s="80">
        <f t="shared" si="146"/>
        <v>0.81831022733943504</v>
      </c>
      <c r="J47" s="81">
        <f t="shared" si="146"/>
        <v>25038.278137939382</v>
      </c>
      <c r="K47" s="81">
        <f t="shared" si="146"/>
        <v>31014.299450169929</v>
      </c>
      <c r="L47" s="9">
        <f t="shared" si="146"/>
        <v>1165.523110823674</v>
      </c>
      <c r="M47" s="9">
        <f t="shared" si="146"/>
        <v>9.2809472965397859</v>
      </c>
      <c r="N47" s="9">
        <f t="shared" si="146"/>
        <v>13.193122235313858</v>
      </c>
      <c r="O47" s="9">
        <f t="shared" si="146"/>
        <v>7.7428492629978214</v>
      </c>
      <c r="P47" s="9">
        <f t="shared" si="146"/>
        <v>1.1160275448926946</v>
      </c>
      <c r="Q47" s="9">
        <f t="shared" si="146"/>
        <v>337.53965917376985</v>
      </c>
      <c r="R47" s="2">
        <f t="shared" si="146"/>
        <v>0.52010000000000001</v>
      </c>
      <c r="S47" s="2">
        <f t="shared" si="146"/>
        <v>1796.366573852325</v>
      </c>
      <c r="T47" s="2">
        <f t="shared" si="146"/>
        <v>14.124025108100591</v>
      </c>
      <c r="U47" s="2">
        <f t="shared" si="146"/>
        <v>20.266032631630186</v>
      </c>
      <c r="V47" s="2">
        <f t="shared" si="146"/>
        <v>11.925661112684816</v>
      </c>
      <c r="W47" s="2">
        <f t="shared" si="146"/>
        <v>1.7238605665216979</v>
      </c>
      <c r="X47" s="2">
        <f t="shared" si="146"/>
        <v>3.6563950536559607E-2</v>
      </c>
      <c r="Y47" s="2">
        <f t="shared" si="146"/>
        <v>0.63835019693309203</v>
      </c>
      <c r="Z47" s="2">
        <f t="shared" si="146"/>
        <v>0.28433726269284132</v>
      </c>
      <c r="AA47" s="2">
        <f t="shared" si="146"/>
        <v>4.2965160156562286E-2</v>
      </c>
      <c r="AB47" s="18">
        <f t="shared" si="146"/>
        <v>0</v>
      </c>
      <c r="AC47" s="18">
        <f t="shared" si="146"/>
        <v>1.6124425428719406E-4</v>
      </c>
      <c r="AD47" s="18">
        <f t="shared" si="146"/>
        <v>0</v>
      </c>
      <c r="AE47" s="18">
        <f t="shared" si="146"/>
        <v>8.6495786087049682E-4</v>
      </c>
      <c r="AF47" s="18">
        <f t="shared" si="146"/>
        <v>2.8624519455711385E-5</v>
      </c>
      <c r="AG47" s="18">
        <f t="shared" si="146"/>
        <v>4.1595994956356705E-3</v>
      </c>
      <c r="AH47" s="18">
        <f t="shared" si="146"/>
        <v>3.6398437815755753E-3</v>
      </c>
      <c r="AI47" s="18">
        <f t="shared" si="146"/>
        <v>1.0334558422709299E-2</v>
      </c>
      <c r="AJ47" s="18">
        <f t="shared" si="146"/>
        <v>0</v>
      </c>
      <c r="AK47" s="18">
        <f t="shared" si="146"/>
        <v>0</v>
      </c>
      <c r="AL47" s="18">
        <f t="shared" si="146"/>
        <v>3.6210730817467616E-6</v>
      </c>
      <c r="AM47" s="18">
        <f t="shared" si="146"/>
        <v>5.0745026742087169E-4</v>
      </c>
      <c r="AN47" s="18">
        <f t="shared" si="146"/>
        <v>0</v>
      </c>
      <c r="AO47" s="18">
        <f t="shared" si="146"/>
        <v>0</v>
      </c>
      <c r="AP47" s="18">
        <f t="shared" si="146"/>
        <v>0</v>
      </c>
      <c r="AQ47" s="18">
        <f t="shared" si="146"/>
        <v>0</v>
      </c>
      <c r="AR47" s="18">
        <f t="shared" si="146"/>
        <v>6.0158145407576776E-6</v>
      </c>
      <c r="AS47" s="18">
        <f t="shared" si="146"/>
        <v>8.0015589625238826E-4</v>
      </c>
      <c r="AT47" s="18">
        <f t="shared" si="146"/>
        <v>0</v>
      </c>
      <c r="AU47" s="18">
        <f t="shared" si="146"/>
        <v>2.3622199577968525E-6</v>
      </c>
      <c r="AV47" s="18">
        <f t="shared" si="146"/>
        <v>0</v>
      </c>
      <c r="AW47" s="18">
        <f t="shared" si="146"/>
        <v>8.5915369539532868E-6</v>
      </c>
      <c r="AX47" s="18">
        <f t="shared" si="146"/>
        <v>6.8888905186074962E-6</v>
      </c>
      <c r="AY47" s="18">
        <f t="shared" si="146"/>
        <v>3.210579622561622E-5</v>
      </c>
      <c r="AZ47" s="18">
        <f t="shared" si="146"/>
        <v>0</v>
      </c>
      <c r="BA47" s="18">
        <f t="shared" si="146"/>
        <v>2.2944036059019404E-6</v>
      </c>
      <c r="BB47" s="18">
        <f t="shared" si="146"/>
        <v>1.2070525795759351E-6</v>
      </c>
      <c r="BC47" s="18">
        <f t="shared" si="146"/>
        <v>6.1449949505683965E-6</v>
      </c>
      <c r="BD47" s="18">
        <f t="shared" si="146"/>
        <v>0</v>
      </c>
      <c r="BE47" s="18">
        <f t="shared" si="146"/>
        <v>4.9379492457013681E-5</v>
      </c>
      <c r="BF47" s="18">
        <f t="shared" si="146"/>
        <v>3.4049029213487131E-5</v>
      </c>
      <c r="BG47" s="18">
        <f t="shared" si="146"/>
        <v>2.1619936341017424E-5</v>
      </c>
      <c r="BH47" s="18">
        <f t="shared" si="146"/>
        <v>2.5573598673539837E-5</v>
      </c>
      <c r="BI47" s="18">
        <f t="shared" si="146"/>
        <v>9.6277943114678611E-5</v>
      </c>
      <c r="BJ47" s="18">
        <f t="shared" ref="BJ47:BM47" si="147">AVERAGE(BJ18,BJ20,BJ22)</f>
        <v>0</v>
      </c>
      <c r="BK47" s="18">
        <f t="shared" si="147"/>
        <v>1.1278383163958355E-6</v>
      </c>
      <c r="BL47" s="18">
        <f t="shared" si="147"/>
        <v>2.5238372118405915E-6</v>
      </c>
      <c r="BM47" s="18">
        <f t="shared" si="147"/>
        <v>0</v>
      </c>
    </row>
    <row r="48" spans="1:65">
      <c r="A48" s="20"/>
      <c r="B48" s="20"/>
      <c r="C48" s="20"/>
      <c r="D48" s="20"/>
      <c r="E48" s="23"/>
      <c r="F48" s="23" t="s">
        <v>503</v>
      </c>
      <c r="G48" s="80">
        <f t="shared" ref="G48:BI48" si="148">STDEV(G18,G20,G22)</f>
        <v>7.840110675689814E-3</v>
      </c>
      <c r="H48" s="80">
        <f t="shared" si="148"/>
        <v>5.3829509620165143E-3</v>
      </c>
      <c r="I48" s="80">
        <f t="shared" si="148"/>
        <v>6.382765517516085E-3</v>
      </c>
      <c r="J48" s="81">
        <f t="shared" si="148"/>
        <v>1617.3770420156065</v>
      </c>
      <c r="K48" s="81">
        <f t="shared" si="148"/>
        <v>2139.4466583421645</v>
      </c>
      <c r="L48" s="9">
        <f t="shared" si="148"/>
        <v>57.609362244497376</v>
      </c>
      <c r="M48" s="9">
        <f t="shared" si="148"/>
        <v>3.6948747574832779</v>
      </c>
      <c r="N48" s="9">
        <f t="shared" si="148"/>
        <v>1.8952783888302001</v>
      </c>
      <c r="O48" s="9">
        <f t="shared" si="148"/>
        <v>0.56561206524113228</v>
      </c>
      <c r="P48" s="9">
        <f t="shared" si="148"/>
        <v>6.6177198717367797E-2</v>
      </c>
      <c r="Q48" s="9">
        <f t="shared" si="148"/>
        <v>19.058748651991596</v>
      </c>
      <c r="R48" s="2">
        <f t="shared" si="148"/>
        <v>0</v>
      </c>
      <c r="S48" s="2">
        <f t="shared" si="148"/>
        <v>12.324755061322273</v>
      </c>
      <c r="T48" s="2">
        <f t="shared" si="148"/>
        <v>4.823642848462848</v>
      </c>
      <c r="U48" s="2">
        <f t="shared" si="148"/>
        <v>1.7544651155229556</v>
      </c>
      <c r="V48" s="2">
        <f t="shared" si="148"/>
        <v>0.34453045378238423</v>
      </c>
      <c r="W48" s="2">
        <f t="shared" si="148"/>
        <v>0.15398082847360767</v>
      </c>
      <c r="X48" s="2">
        <f t="shared" si="148"/>
        <v>1.8998835340095076E-2</v>
      </c>
      <c r="Y48" s="2">
        <f t="shared" si="148"/>
        <v>0.10975001380015091</v>
      </c>
      <c r="Z48" s="2">
        <f t="shared" si="148"/>
        <v>7.1805323122001344E-2</v>
      </c>
      <c r="AA48" s="2">
        <f t="shared" si="148"/>
        <v>1.2150052750345801E-2</v>
      </c>
      <c r="AB48" s="18">
        <f t="shared" si="148"/>
        <v>0</v>
      </c>
      <c r="AC48" s="18">
        <f t="shared" si="148"/>
        <v>2.7928324085397589E-4</v>
      </c>
      <c r="AD48" s="18">
        <f t="shared" si="148"/>
        <v>0</v>
      </c>
      <c r="AE48" s="18">
        <f t="shared" si="148"/>
        <v>1.0115157108339116E-3</v>
      </c>
      <c r="AF48" s="18">
        <f t="shared" si="148"/>
        <v>4.3540265204798077E-5</v>
      </c>
      <c r="AG48" s="18">
        <f t="shared" si="148"/>
        <v>3.7855781381960211E-4</v>
      </c>
      <c r="AH48" s="18">
        <f t="shared" si="148"/>
        <v>1.6634303859189793E-3</v>
      </c>
      <c r="AI48" s="18">
        <f t="shared" si="148"/>
        <v>1.4526255581749185E-3</v>
      </c>
      <c r="AJ48" s="18">
        <f t="shared" si="148"/>
        <v>0</v>
      </c>
      <c r="AK48" s="18">
        <f t="shared" si="148"/>
        <v>0</v>
      </c>
      <c r="AL48" s="18">
        <f t="shared" si="148"/>
        <v>6.2718825555054021E-6</v>
      </c>
      <c r="AM48" s="18">
        <f t="shared" si="148"/>
        <v>5.2328398312248624E-4</v>
      </c>
      <c r="AN48" s="18">
        <f t="shared" si="148"/>
        <v>0</v>
      </c>
      <c r="AO48" s="18">
        <f t="shared" si="148"/>
        <v>0</v>
      </c>
      <c r="AP48" s="18">
        <f t="shared" si="148"/>
        <v>0</v>
      </c>
      <c r="AQ48" s="18">
        <f t="shared" si="148"/>
        <v>0</v>
      </c>
      <c r="AR48" s="18">
        <f t="shared" si="148"/>
        <v>5.408459377285979E-6</v>
      </c>
      <c r="AS48" s="18">
        <f t="shared" si="148"/>
        <v>2.6582279434867292E-4</v>
      </c>
      <c r="AT48" s="18">
        <f t="shared" si="148"/>
        <v>0</v>
      </c>
      <c r="AU48" s="18">
        <f t="shared" si="148"/>
        <v>4.0914849855573576E-6</v>
      </c>
      <c r="AV48" s="18">
        <f t="shared" si="148"/>
        <v>0</v>
      </c>
      <c r="AW48" s="18">
        <f t="shared" si="148"/>
        <v>1.2065385088135969E-5</v>
      </c>
      <c r="AX48" s="18">
        <f t="shared" si="148"/>
        <v>1.1931908386007697E-5</v>
      </c>
      <c r="AY48" s="18">
        <f t="shared" si="148"/>
        <v>2.1267224865921004E-5</v>
      </c>
      <c r="AZ48" s="18">
        <f t="shared" si="148"/>
        <v>0</v>
      </c>
      <c r="BA48" s="18">
        <f t="shared" si="148"/>
        <v>3.9740236184914006E-6</v>
      </c>
      <c r="BB48" s="18">
        <f t="shared" si="148"/>
        <v>2.090676395232595E-6</v>
      </c>
      <c r="BC48" s="18">
        <f t="shared" si="148"/>
        <v>1.0643443466638665E-5</v>
      </c>
      <c r="BD48" s="18">
        <f t="shared" si="148"/>
        <v>0</v>
      </c>
      <c r="BE48" s="18">
        <f t="shared" si="148"/>
        <v>4.428884414336701E-5</v>
      </c>
      <c r="BF48" s="18">
        <f t="shared" si="148"/>
        <v>4.7060579617413256E-5</v>
      </c>
      <c r="BG48" s="18">
        <f t="shared" si="148"/>
        <v>3.7446828199046941E-5</v>
      </c>
      <c r="BH48" s="18">
        <f t="shared" si="148"/>
        <v>4.4294772234947036E-5</v>
      </c>
      <c r="BI48" s="18">
        <f t="shared" si="148"/>
        <v>1.6675828912284953E-4</v>
      </c>
      <c r="BJ48" s="18">
        <f t="shared" ref="BJ48:BM48" si="149">STDEV(BJ18,BJ20,BJ22)</f>
        <v>0</v>
      </c>
      <c r="BK48" s="18">
        <f t="shared" si="149"/>
        <v>1.9534732667205297E-6</v>
      </c>
      <c r="BL48" s="18">
        <f t="shared" si="149"/>
        <v>4.3714142809408803E-6</v>
      </c>
      <c r="BM48" s="18">
        <f t="shared" si="149"/>
        <v>0</v>
      </c>
    </row>
    <row r="49" spans="1:65" s="37" customFormat="1">
      <c r="A49" s="53"/>
      <c r="B49" s="53"/>
      <c r="C49" s="53"/>
      <c r="D49" s="53"/>
      <c r="E49" s="53"/>
      <c r="F49" s="54" t="s">
        <v>493</v>
      </c>
      <c r="G49" s="55">
        <f t="shared" ref="G49:AA49" si="150">G48/G47</f>
        <v>9.7092363422958093E-3</v>
      </c>
      <c r="H49" s="55">
        <f t="shared" si="150"/>
        <v>5.4550891674448737E-3</v>
      </c>
      <c r="I49" s="55">
        <f t="shared" si="150"/>
        <v>7.7999336978450276E-3</v>
      </c>
      <c r="J49" s="55">
        <f t="shared" si="150"/>
        <v>6.4596176825948246E-2</v>
      </c>
      <c r="K49" s="55">
        <f t="shared" si="150"/>
        <v>6.8982588556596988E-2</v>
      </c>
      <c r="L49" s="55">
        <f t="shared" si="150"/>
        <v>4.9427902123523659E-2</v>
      </c>
      <c r="M49" s="55">
        <f t="shared" si="150"/>
        <v>0.39811396826494611</v>
      </c>
      <c r="N49" s="55">
        <f t="shared" si="150"/>
        <v>0.14365654733017882</v>
      </c>
      <c r="O49" s="55">
        <f t="shared" si="150"/>
        <v>7.3049603063322796E-2</v>
      </c>
      <c r="P49" s="55">
        <f t="shared" si="150"/>
        <v>5.929710159952252E-2</v>
      </c>
      <c r="Q49" s="55">
        <f t="shared" si="150"/>
        <v>5.6463731398685518E-2</v>
      </c>
      <c r="R49" s="55">
        <f t="shared" si="150"/>
        <v>0</v>
      </c>
      <c r="S49" s="55">
        <f t="shared" si="150"/>
        <v>6.860935424161072E-3</v>
      </c>
      <c r="T49" s="55">
        <f t="shared" si="150"/>
        <v>0.34152041019074164</v>
      </c>
      <c r="U49" s="55">
        <f t="shared" si="150"/>
        <v>8.6571710774050389E-2</v>
      </c>
      <c r="V49" s="55">
        <f t="shared" si="150"/>
        <v>2.88898410349697E-2</v>
      </c>
      <c r="W49" s="55">
        <f t="shared" si="150"/>
        <v>8.9323250072539745E-2</v>
      </c>
      <c r="X49" s="55">
        <f t="shared" si="150"/>
        <v>0.51960565150361682</v>
      </c>
      <c r="Y49" s="55">
        <f t="shared" si="150"/>
        <v>0.17192759448878847</v>
      </c>
      <c r="Z49" s="55">
        <f t="shared" si="150"/>
        <v>0.25253574730924344</v>
      </c>
      <c r="AA49" s="55">
        <f t="shared" si="150"/>
        <v>0.28278848969890463</v>
      </c>
      <c r="AB49" s="55" t="str">
        <f>IF(AB48 &lt;=0,"",AB48/AB47)</f>
        <v/>
      </c>
      <c r="AC49" s="55">
        <f>IF(AC48 &lt;=0,"",AC48/AC47)</f>
        <v>1.7320508075688774</v>
      </c>
      <c r="AD49" s="55" t="str">
        <f>IF(AD48 &lt;=0,"",AD48/AD47)</f>
        <v/>
      </c>
      <c r="AE49" s="55">
        <f t="shared" ref="AE49" si="151">IF(AE48 &lt;=0,"",AE48/AE47)</f>
        <v>1.1694392947835845</v>
      </c>
      <c r="AF49" s="55">
        <f t="shared" ref="AF49" si="152">IF(AF48 &lt;=0,"",AF48/AF47)</f>
        <v>1.5210828350206798</v>
      </c>
      <c r="AG49" s="55">
        <f t="shared" ref="AG49" si="153">IF(AG48 &lt;=0,"",AG48/AG47)</f>
        <v>9.1008236301786283E-2</v>
      </c>
      <c r="AH49" s="55">
        <f t="shared" ref="AH49" si="154">IF(AH48 &lt;=0,"",AH48/AH47)</f>
        <v>0.4570059831520934</v>
      </c>
      <c r="AI49" s="55">
        <f t="shared" ref="AI49" si="155">IF(AI48 &lt;=0,"",AI48/AI47)</f>
        <v>0.14056000254281784</v>
      </c>
      <c r="AJ49" s="55" t="str">
        <f t="shared" ref="AJ49" si="156">IF(AJ48 &lt;=0,"",AJ48/AJ47)</f>
        <v/>
      </c>
      <c r="AK49" s="55" t="str">
        <f t="shared" ref="AK49" si="157">IF(AK48 &lt;=0,"",AK48/AK47)</f>
        <v/>
      </c>
      <c r="AL49" s="55">
        <f t="shared" ref="AL49" si="158">IF(AL48 &lt;=0,"",AL48/AL47)</f>
        <v>1.7320508075688774</v>
      </c>
      <c r="AM49" s="55">
        <f t="shared" ref="AM49" si="159">IF(AM48 &lt;=0,"",AM48/AM47)</f>
        <v>1.0312024975020504</v>
      </c>
      <c r="AN49" s="55" t="str">
        <f t="shared" ref="AN49" si="160">IF(AN48 &lt;=0,"",AN48/AN47)</f>
        <v/>
      </c>
      <c r="AO49" s="55" t="str">
        <f t="shared" ref="AO49" si="161">IF(AO48 &lt;=0,"",AO48/AO47)</f>
        <v/>
      </c>
      <c r="AP49" s="55" t="str">
        <f t="shared" ref="AP49" si="162">IF(AP48 &lt;=0,"",AP48/AP47)</f>
        <v/>
      </c>
      <c r="AQ49" s="55" t="str">
        <f t="shared" ref="AQ49" si="163">IF(AQ48 &lt;=0,"",AQ48/AQ47)</f>
        <v/>
      </c>
      <c r="AR49" s="55">
        <f t="shared" ref="AR49" si="164">IF(AR48 &lt;=0,"",AR48/AR47)</f>
        <v>0.89904024478201361</v>
      </c>
      <c r="AS49" s="55">
        <f t="shared" ref="AS49" si="165">IF(AS48 &lt;=0,"",AS48/AS47)</f>
        <v>0.33221375433672501</v>
      </c>
      <c r="AT49" s="55" t="str">
        <f t="shared" ref="AT49" si="166">IF(AT48 &lt;=0,"",AT48/AT47)</f>
        <v/>
      </c>
      <c r="AU49" s="55">
        <f t="shared" ref="AU49" si="167">IF(AU48 &lt;=0,"",AU48/AU47)</f>
        <v>1.7320508075688774</v>
      </c>
      <c r="AV49" s="55" t="str">
        <f t="shared" ref="AV49" si="168">IF(AV48 &lt;=0,"",AV48/AV47)</f>
        <v/>
      </c>
      <c r="AW49" s="55">
        <f t="shared" ref="AW49" si="169">IF(AW48 &lt;=0,"",AW48/AW47)</f>
        <v>1.4043337243150931</v>
      </c>
      <c r="AX49" s="55">
        <f t="shared" ref="AX49" si="170">IF(AX48 &lt;=0,"",AX48/AX47)</f>
        <v>1.7320508075688774</v>
      </c>
      <c r="AY49" s="55">
        <f t="shared" ref="AY49" si="171">IF(AY48 &lt;=0,"",AY48/AY47)</f>
        <v>0.66241075961706075</v>
      </c>
      <c r="AZ49" s="55" t="str">
        <f t="shared" ref="AZ49" si="172">IF(AZ48 &lt;=0,"",AZ48/AZ47)</f>
        <v/>
      </c>
      <c r="BA49" s="55">
        <f t="shared" ref="BA49" si="173">IF(BA48 &lt;=0,"",BA48/BA47)</f>
        <v>1.7320508075688776</v>
      </c>
      <c r="BB49" s="55">
        <f t="shared" ref="BB49" si="174">IF(BB48 &lt;=0,"",BB48/BB47)</f>
        <v>1.7320508075688774</v>
      </c>
      <c r="BC49" s="55">
        <f t="shared" ref="BC49" si="175">IF(BC48 &lt;=0,"",BC48/BC47)</f>
        <v>1.7320508075688774</v>
      </c>
      <c r="BD49" s="55" t="str">
        <f t="shared" ref="BD49" si="176">IF(BD48 &lt;=0,"",BD48/BD47)</f>
        <v/>
      </c>
      <c r="BE49" s="55">
        <f t="shared" ref="BE49" si="177">IF(BE48 &lt;=0,"",BE48/BE47)</f>
        <v>0.89690764201194995</v>
      </c>
      <c r="BF49" s="55">
        <f t="shared" ref="BF49" si="178">IF(BF48 &lt;=0,"",BF48/BF47)</f>
        <v>1.3821415971170223</v>
      </c>
      <c r="BG49" s="55">
        <f t="shared" ref="BG49" si="179">IF(BG48 &lt;=0,"",BG48/BG47)</f>
        <v>1.732050807568877</v>
      </c>
      <c r="BH49" s="55">
        <f t="shared" ref="BH49" si="180">IF(BH48 &lt;=0,"",BH48/BH47)</f>
        <v>1.732050807568877</v>
      </c>
      <c r="BI49" s="55">
        <f t="shared" ref="BI49" si="181">IF(BI48 &lt;=0,"",BI48/BI47)</f>
        <v>1.7320508075688774</v>
      </c>
      <c r="BJ49" s="55" t="str">
        <f t="shared" ref="BJ49" si="182">IF(BJ48 &lt;=0,"",BJ48/BJ47)</f>
        <v/>
      </c>
      <c r="BK49" s="55">
        <f t="shared" ref="BK49" si="183">IF(BK48 &lt;=0,"",BK48/BK47)</f>
        <v>1.7320508075688772</v>
      </c>
      <c r="BL49" s="55">
        <f t="shared" ref="BL49" si="184">IF(BL48 &lt;=0,"",BL48/BL47)</f>
        <v>1.7320508075688774</v>
      </c>
      <c r="BM49" s="55" t="str">
        <f t="shared" ref="BM49" si="185">IF(BM48 &lt;=0,"",BM48/BM47)</f>
        <v/>
      </c>
    </row>
    <row r="50" spans="1:65" ht="60">
      <c r="A50" s="4"/>
      <c r="B50" s="3"/>
      <c r="C50" s="3"/>
      <c r="D50" s="3"/>
      <c r="E50" s="22" t="s">
        <v>507</v>
      </c>
      <c r="F50" s="22"/>
      <c r="G50" s="11" t="str">
        <f t="shared" ref="G50:AB50" si="186">G1</f>
        <v>Overall Efficiency* (HHV basis)</v>
      </c>
      <c r="H50" s="11" t="str">
        <f t="shared" si="186"/>
        <v>Combustion Efficiency* (HHV basis)</v>
      </c>
      <c r="I50" s="11" t="str">
        <f t="shared" si="186"/>
        <v>Heat Transfer Efficiency* (HHV basis)</v>
      </c>
      <c r="J50" s="11" t="str">
        <f t="shared" si="186"/>
        <v>Output Rate* (kJ/hr)</v>
      </c>
      <c r="K50" s="11" t="str">
        <f t="shared" si="186"/>
        <v>Input Rate* (kJ/hr)</v>
      </c>
      <c r="L50" s="11" t="str">
        <f t="shared" si="186"/>
        <v>10" CO2 (mg/m3)</v>
      </c>
      <c r="M50" s="11" t="str">
        <f t="shared" si="186"/>
        <v>10" CO (mg/m3)</v>
      </c>
      <c r="N50" s="11" t="str">
        <f t="shared" si="186"/>
        <v>10" THC (mg/m3)</v>
      </c>
      <c r="O50" s="11" t="str">
        <f t="shared" si="186"/>
        <v>10" CH4 (mg/m3)</v>
      </c>
      <c r="P50" s="11" t="str">
        <f t="shared" si="186"/>
        <v>10" NOx (mg/m3)</v>
      </c>
      <c r="Q50" s="11" t="str">
        <f t="shared" si="186"/>
        <v>10" Carbon (mg/m3)</v>
      </c>
      <c r="R50" s="11" t="str">
        <f t="shared" si="186"/>
        <v>Fuel Carbon Fraction</v>
      </c>
      <c r="S50" s="11" t="str">
        <f t="shared" si="186"/>
        <v>Carbon Balance - CO2 (g/kg)</v>
      </c>
      <c r="T50" s="11" t="str">
        <f t="shared" si="186"/>
        <v>Carbon Balance - CO (g/kg)</v>
      </c>
      <c r="U50" s="11" t="str">
        <f t="shared" si="186"/>
        <v>THC (g/kg)</v>
      </c>
      <c r="V50" s="11" t="str">
        <f t="shared" si="186"/>
        <v>CH4 (g/kg)</v>
      </c>
      <c r="W50" s="11" t="str">
        <f t="shared" si="186"/>
        <v>NOx (g/kg)</v>
      </c>
      <c r="X50" s="11" t="str">
        <f t="shared" si="186"/>
        <v>BC (g/kg)</v>
      </c>
      <c r="Y50" s="11" t="str">
        <f t="shared" si="186"/>
        <v>PM (g/kg)</v>
      </c>
      <c r="Z50" s="11" t="str">
        <f t="shared" si="186"/>
        <v>OC (g/kg)</v>
      </c>
      <c r="AA50" s="11" t="str">
        <f t="shared" si="186"/>
        <v>EC (g/kg)</v>
      </c>
      <c r="AB50" s="11" t="str">
        <f t="shared" si="186"/>
        <v>Na (g/kg)</v>
      </c>
      <c r="AC50" s="11" t="str">
        <f t="shared" ref="AC50:BM50" si="187">AC1</f>
        <v>Mg (g/kg)</v>
      </c>
      <c r="AD50" s="11" t="str">
        <f t="shared" si="187"/>
        <v>Al (g/kg)</v>
      </c>
      <c r="AE50" s="11" t="str">
        <f t="shared" si="187"/>
        <v>Si (g/kg)</v>
      </c>
      <c r="AF50" s="11" t="str">
        <f t="shared" si="187"/>
        <v>P (g/kg)</v>
      </c>
      <c r="AG50" s="11" t="str">
        <f t="shared" si="187"/>
        <v>S (g/kg)</v>
      </c>
      <c r="AH50" s="11" t="str">
        <f t="shared" si="187"/>
        <v>Cl (g/kg)</v>
      </c>
      <c r="AI50" s="11" t="str">
        <f t="shared" si="187"/>
        <v>K (g/kg)</v>
      </c>
      <c r="AJ50" s="11" t="str">
        <f t="shared" si="187"/>
        <v>Ca (g/kg)</v>
      </c>
      <c r="AK50" s="11" t="str">
        <f t="shared" si="187"/>
        <v>Ti  (g/kg)</v>
      </c>
      <c r="AL50" s="11" t="str">
        <f t="shared" si="187"/>
        <v>V  (g/kg)</v>
      </c>
      <c r="AM50" s="11" t="str">
        <f t="shared" si="187"/>
        <v>Cr  (g/kg)</v>
      </c>
      <c r="AN50" s="11" t="str">
        <f t="shared" si="187"/>
        <v>Mn  (g/kg)</v>
      </c>
      <c r="AO50" s="11" t="str">
        <f t="shared" si="187"/>
        <v>Fe (g/kg)</v>
      </c>
      <c r="AP50" s="11" t="str">
        <f t="shared" si="187"/>
        <v>Co (g/kg)</v>
      </c>
      <c r="AQ50" s="11" t="str">
        <f t="shared" si="187"/>
        <v>Ni (g/kg)</v>
      </c>
      <c r="AR50" s="11" t="str">
        <f t="shared" si="187"/>
        <v>Cu (g/kg)</v>
      </c>
      <c r="AS50" s="11" t="str">
        <f t="shared" si="187"/>
        <v>Zn (g/kg)</v>
      </c>
      <c r="AT50" s="11" t="str">
        <f t="shared" si="187"/>
        <v>Ga (g/kg)</v>
      </c>
      <c r="AU50" s="11" t="str">
        <f t="shared" si="187"/>
        <v>Ge (g/kg)</v>
      </c>
      <c r="AV50" s="11" t="str">
        <f t="shared" si="187"/>
        <v>As (g/kg)</v>
      </c>
      <c r="AW50" s="11" t="str">
        <f t="shared" si="187"/>
        <v>Se (g/kg)</v>
      </c>
      <c r="AX50" s="11" t="str">
        <f t="shared" si="187"/>
        <v>Br (g/kg)</v>
      </c>
      <c r="AY50" s="11" t="str">
        <f t="shared" si="187"/>
        <v>Rb (g/kg)</v>
      </c>
      <c r="AZ50" s="11" t="str">
        <f t="shared" si="187"/>
        <v>Sr (g/kg)</v>
      </c>
      <c r="BA50" s="11" t="str">
        <f t="shared" si="187"/>
        <v>Y (g/kg)</v>
      </c>
      <c r="BB50" s="11" t="str">
        <f t="shared" si="187"/>
        <v>Zr (g/kg)</v>
      </c>
      <c r="BC50" s="11" t="str">
        <f t="shared" si="187"/>
        <v>Mo (g/kg)</v>
      </c>
      <c r="BD50" s="11" t="str">
        <f t="shared" si="187"/>
        <v>Pd (g/kg)</v>
      </c>
      <c r="BE50" s="11" t="str">
        <f t="shared" si="187"/>
        <v>Ag (g/kg)</v>
      </c>
      <c r="BF50" s="11" t="str">
        <f t="shared" si="187"/>
        <v>Cd (g/kg)</v>
      </c>
      <c r="BG50" s="11" t="str">
        <f t="shared" si="187"/>
        <v>In (g/kg)</v>
      </c>
      <c r="BH50" s="11" t="str">
        <f t="shared" si="187"/>
        <v>Sn (g/kg)</v>
      </c>
      <c r="BI50" s="11" t="str">
        <f t="shared" si="187"/>
        <v>Sb (g/kg)</v>
      </c>
      <c r="BJ50" s="11" t="str">
        <f t="shared" si="187"/>
        <v>Ba (g/kg)</v>
      </c>
      <c r="BK50" s="11" t="str">
        <f t="shared" si="187"/>
        <v>La (g/kg)</v>
      </c>
      <c r="BL50" s="11" t="str">
        <f t="shared" si="187"/>
        <v>Hg (g/kg)</v>
      </c>
      <c r="BM50" s="11" t="str">
        <f t="shared" si="187"/>
        <v>Pb (g/kg)</v>
      </c>
    </row>
    <row r="51" spans="1:65">
      <c r="A51" s="20"/>
      <c r="B51" s="20"/>
      <c r="C51" s="20"/>
      <c r="D51" s="20"/>
      <c r="E51" s="23" t="s">
        <v>500</v>
      </c>
      <c r="F51" s="23" t="s">
        <v>501</v>
      </c>
      <c r="G51" s="80">
        <f t="shared" ref="G51:BF51" si="188">G32</f>
        <v>0.6730665015282723</v>
      </c>
      <c r="H51" s="80">
        <f t="shared" si="188"/>
        <v>0.93413252531936875</v>
      </c>
      <c r="I51" s="80">
        <f t="shared" si="188"/>
        <v>0.72051079063191625</v>
      </c>
      <c r="J51" s="81">
        <f t="shared" si="188"/>
        <v>69385.031368190117</v>
      </c>
      <c r="K51" s="81">
        <f t="shared" si="188"/>
        <v>103113.61898646706</v>
      </c>
      <c r="L51" s="9">
        <f t="shared" si="188"/>
        <v>3324.4840799674034</v>
      </c>
      <c r="M51" s="9">
        <f t="shared" si="188"/>
        <v>143.64549746232365</v>
      </c>
      <c r="N51" s="9">
        <f t="shared" si="188"/>
        <v>53.066778620238289</v>
      </c>
      <c r="O51" s="9">
        <f t="shared" si="188"/>
        <v>9.8606943562976177</v>
      </c>
      <c r="P51" s="9">
        <f t="shared" si="188"/>
        <v>2.2123205399056807</v>
      </c>
      <c r="Q51" s="9">
        <f t="shared" si="188"/>
        <v>1014.174141404771</v>
      </c>
      <c r="R51" s="2">
        <f t="shared" si="188"/>
        <v>0.51910000000000001</v>
      </c>
      <c r="S51" s="2">
        <f t="shared" si="188"/>
        <v>1699.3934096794928</v>
      </c>
      <c r="T51" s="2">
        <f t="shared" si="188"/>
        <v>73.628335868504664</v>
      </c>
      <c r="U51" s="2">
        <f t="shared" si="188"/>
        <v>27.81364823048877</v>
      </c>
      <c r="V51" s="2">
        <f t="shared" si="188"/>
        <v>4.3051721615573122</v>
      </c>
      <c r="W51" s="2">
        <f t="shared" si="188"/>
        <v>1.1335479680870975</v>
      </c>
      <c r="X51" s="2">
        <f t="shared" si="188"/>
        <v>0.65828483320612385</v>
      </c>
      <c r="Y51" s="2">
        <f t="shared" si="188"/>
        <v>12.620156716975814</v>
      </c>
      <c r="Z51" s="2">
        <f t="shared" si="188"/>
        <v>6.7605263791393284</v>
      </c>
      <c r="AA51" s="2">
        <f t="shared" si="188"/>
        <v>0.42497737228215743</v>
      </c>
      <c r="AB51" s="18">
        <f t="shared" si="188"/>
        <v>4.2946960900360131E-3</v>
      </c>
      <c r="AC51" s="18">
        <f t="shared" si="188"/>
        <v>7.9228524220351527E-4</v>
      </c>
      <c r="AD51" s="18">
        <f t="shared" si="188"/>
        <v>0</v>
      </c>
      <c r="AE51" s="18">
        <f t="shared" si="188"/>
        <v>1.1563879047151537E-3</v>
      </c>
      <c r="AF51" s="18">
        <f t="shared" si="188"/>
        <v>3.980019376073164E-5</v>
      </c>
      <c r="AG51" s="18">
        <f t="shared" si="188"/>
        <v>1.5577676999126452E-2</v>
      </c>
      <c r="AH51" s="18">
        <f t="shared" si="188"/>
        <v>1.592827506208656E-2</v>
      </c>
      <c r="AI51" s="18">
        <f t="shared" si="188"/>
        <v>1.836390214829663E-2</v>
      </c>
      <c r="AJ51" s="18">
        <f t="shared" si="188"/>
        <v>3.8461932094569079E-3</v>
      </c>
      <c r="AK51" s="18">
        <f t="shared" si="188"/>
        <v>2.6927686323624137E-4</v>
      </c>
      <c r="AL51" s="18">
        <f t="shared" si="188"/>
        <v>4.4455970481953196E-5</v>
      </c>
      <c r="AM51" s="18">
        <f t="shared" si="188"/>
        <v>0</v>
      </c>
      <c r="AN51" s="18">
        <f t="shared" si="188"/>
        <v>1.1300489197355528E-4</v>
      </c>
      <c r="AO51" s="18">
        <f t="shared" si="188"/>
        <v>3.0422341008154701E-4</v>
      </c>
      <c r="AP51" s="18">
        <f t="shared" si="188"/>
        <v>2.6026752071320044E-5</v>
      </c>
      <c r="AQ51" s="18">
        <f t="shared" si="188"/>
        <v>8.0265167853677363E-6</v>
      </c>
      <c r="AR51" s="18">
        <f t="shared" si="188"/>
        <v>1.617756776823179E-5</v>
      </c>
      <c r="AS51" s="18">
        <f t="shared" si="188"/>
        <v>2.9637048129816435E-3</v>
      </c>
      <c r="AT51" s="18">
        <f t="shared" si="188"/>
        <v>9.6068606465284851E-6</v>
      </c>
      <c r="AU51" s="18">
        <f t="shared" si="188"/>
        <v>1.2301962425914911E-5</v>
      </c>
      <c r="AV51" s="18">
        <f t="shared" si="188"/>
        <v>1.3260342261618967E-5</v>
      </c>
      <c r="AW51" s="18">
        <f t="shared" si="188"/>
        <v>2.4281790080062684E-5</v>
      </c>
      <c r="AX51" s="18">
        <f t="shared" si="188"/>
        <v>6.6369492726229583E-5</v>
      </c>
      <c r="AY51" s="18">
        <f t="shared" si="188"/>
        <v>3.8832274585671438E-5</v>
      </c>
      <c r="AZ51" s="18">
        <f t="shared" si="188"/>
        <v>2.4622681221876644E-5</v>
      </c>
      <c r="BA51" s="18">
        <f t="shared" si="188"/>
        <v>7.4386684622953207E-5</v>
      </c>
      <c r="BB51" s="18">
        <f t="shared" si="188"/>
        <v>7.5958125689134712E-5</v>
      </c>
      <c r="BC51" s="18">
        <f t="shared" si="188"/>
        <v>3.6853864905114326E-5</v>
      </c>
      <c r="BD51" s="18">
        <f t="shared" si="188"/>
        <v>1.016656193730026E-4</v>
      </c>
      <c r="BE51" s="18">
        <f t="shared" si="188"/>
        <v>1.8411559159180166E-4</v>
      </c>
      <c r="BF51" s="18">
        <f t="shared" si="188"/>
        <v>4.2959904602518379E-4</v>
      </c>
      <c r="BG51" s="18">
        <f t="shared" ref="BG51:BM51" si="189">BG32</f>
        <v>2.3372916367433422E-4</v>
      </c>
      <c r="BH51" s="18">
        <f t="shared" si="189"/>
        <v>3.3196445262139378E-4</v>
      </c>
      <c r="BI51" s="18">
        <f t="shared" si="189"/>
        <v>0</v>
      </c>
      <c r="BJ51" s="18">
        <f t="shared" si="189"/>
        <v>3.7085152317677545E-4</v>
      </c>
      <c r="BK51" s="18">
        <f t="shared" si="189"/>
        <v>2.9523370865597293E-4</v>
      </c>
      <c r="BL51" s="18">
        <f t="shared" si="189"/>
        <v>5.7052115285689397E-5</v>
      </c>
      <c r="BM51" s="18">
        <f t="shared" si="189"/>
        <v>1.5814676472341847E-4</v>
      </c>
    </row>
    <row r="52" spans="1:65">
      <c r="A52" s="20"/>
      <c r="B52" s="20"/>
      <c r="C52" s="20"/>
      <c r="D52" s="20"/>
      <c r="E52" s="23" t="s">
        <v>500</v>
      </c>
      <c r="F52" s="23" t="s">
        <v>504</v>
      </c>
      <c r="G52" s="80">
        <f t="shared" ref="G52:BF52" si="190">G35</f>
        <v>0.80911041727210131</v>
      </c>
      <c r="H52" s="80">
        <f t="shared" si="190"/>
        <v>0.9836657973770081</v>
      </c>
      <c r="I52" s="80">
        <f t="shared" si="190"/>
        <v>0.82199014336308418</v>
      </c>
      <c r="J52" s="81">
        <f t="shared" si="190"/>
        <v>42972.47919130075</v>
      </c>
      <c r="K52" s="81">
        <f t="shared" si="190"/>
        <v>53254.494966545899</v>
      </c>
      <c r="L52" s="9">
        <f t="shared" si="190"/>
        <v>1520.5852354505105</v>
      </c>
      <c r="M52" s="9">
        <f t="shared" si="190"/>
        <v>22.142330405236788</v>
      </c>
      <c r="N52" s="9">
        <f t="shared" si="190"/>
        <v>29.022277766553202</v>
      </c>
      <c r="O52" s="9">
        <f t="shared" si="190"/>
        <v>11.388822978937798</v>
      </c>
      <c r="P52" s="9">
        <f t="shared" si="190"/>
        <v>0.98600636811458775</v>
      </c>
      <c r="Q52" s="9">
        <f t="shared" si="190"/>
        <v>454.48402907488708</v>
      </c>
      <c r="R52" s="2">
        <f t="shared" si="190"/>
        <v>0.51910000000000001</v>
      </c>
      <c r="S52" s="2">
        <f t="shared" si="190"/>
        <v>1737.9894071706265</v>
      </c>
      <c r="T52" s="2">
        <f t="shared" si="190"/>
        <v>24.726843075518364</v>
      </c>
      <c r="U52" s="2">
        <f t="shared" si="190"/>
        <v>33.011104741579835</v>
      </c>
      <c r="V52" s="2">
        <f t="shared" si="190"/>
        <v>13.025210640536029</v>
      </c>
      <c r="W52" s="2">
        <f t="shared" si="190"/>
        <v>1.1340549399615962</v>
      </c>
      <c r="X52" s="2">
        <f t="shared" si="190"/>
        <v>0.11402019792259334</v>
      </c>
      <c r="Y52" s="2">
        <f t="shared" si="190"/>
        <v>6.2725869249441573</v>
      </c>
      <c r="Z52" s="2">
        <f t="shared" si="190"/>
        <v>3.1031452336740131</v>
      </c>
      <c r="AA52" s="2">
        <f t="shared" si="190"/>
        <v>8.7717810637428104E-2</v>
      </c>
      <c r="AB52" s="18">
        <f t="shared" si="190"/>
        <v>0</v>
      </c>
      <c r="AC52" s="18">
        <f t="shared" si="190"/>
        <v>0</v>
      </c>
      <c r="AD52" s="18">
        <f t="shared" si="190"/>
        <v>0</v>
      </c>
      <c r="AE52" s="18">
        <f t="shared" si="190"/>
        <v>1.3454415170700181E-4</v>
      </c>
      <c r="AF52" s="18">
        <f t="shared" si="190"/>
        <v>1.1517016245353462E-4</v>
      </c>
      <c r="AG52" s="18">
        <f t="shared" si="190"/>
        <v>6.9943823754580617E-3</v>
      </c>
      <c r="AH52" s="18">
        <f t="shared" si="190"/>
        <v>6.4711405843885447E-3</v>
      </c>
      <c r="AI52" s="18">
        <f t="shared" si="190"/>
        <v>2.2774107589892591E-2</v>
      </c>
      <c r="AJ52" s="18">
        <f t="shared" si="190"/>
        <v>3.3055103030281917E-3</v>
      </c>
      <c r="AK52" s="18">
        <f t="shared" si="190"/>
        <v>6.3276885080190733E-6</v>
      </c>
      <c r="AL52" s="18">
        <f t="shared" si="190"/>
        <v>6.0600948977250638E-6</v>
      </c>
      <c r="AM52" s="18">
        <f t="shared" si="190"/>
        <v>2.2244808216729614E-4</v>
      </c>
      <c r="AN52" s="18">
        <f t="shared" si="190"/>
        <v>1.0133332164780704E-4</v>
      </c>
      <c r="AO52" s="18">
        <f t="shared" si="190"/>
        <v>2.3750460884938355E-6</v>
      </c>
      <c r="AP52" s="18">
        <f t="shared" si="190"/>
        <v>0</v>
      </c>
      <c r="AQ52" s="18">
        <f t="shared" si="190"/>
        <v>3.4293266248882639E-6</v>
      </c>
      <c r="AR52" s="18">
        <f t="shared" si="190"/>
        <v>0</v>
      </c>
      <c r="AS52" s="18">
        <f t="shared" si="190"/>
        <v>2.6864119928309612E-3</v>
      </c>
      <c r="AT52" s="18">
        <f t="shared" si="190"/>
        <v>0</v>
      </c>
      <c r="AU52" s="18">
        <f t="shared" si="190"/>
        <v>2.1685292829819215E-6</v>
      </c>
      <c r="AV52" s="18">
        <f t="shared" si="190"/>
        <v>0</v>
      </c>
      <c r="AW52" s="18">
        <f t="shared" si="190"/>
        <v>2.1685292829819215E-6</v>
      </c>
      <c r="AX52" s="18">
        <f t="shared" si="190"/>
        <v>2.5366167614605356E-5</v>
      </c>
      <c r="AY52" s="18">
        <f t="shared" si="190"/>
        <v>9.43878045685032E-5</v>
      </c>
      <c r="AZ52" s="18">
        <f t="shared" si="190"/>
        <v>8.0325060230705884E-6</v>
      </c>
      <c r="BA52" s="18">
        <f t="shared" si="190"/>
        <v>0</v>
      </c>
      <c r="BB52" s="18">
        <f t="shared" si="190"/>
        <v>2.4240379590900255E-5</v>
      </c>
      <c r="BC52" s="18">
        <f t="shared" si="190"/>
        <v>0</v>
      </c>
      <c r="BD52" s="18">
        <f t="shared" si="190"/>
        <v>1.0557692502042116E-4</v>
      </c>
      <c r="BE52" s="18">
        <f t="shared" si="190"/>
        <v>2.2101522568173762E-5</v>
      </c>
      <c r="BF52" s="18">
        <f t="shared" si="190"/>
        <v>1.0357112032423717E-4</v>
      </c>
      <c r="BG52" s="18">
        <f t="shared" ref="BG52:BM52" si="191">BG35</f>
        <v>1.97309560346519E-4</v>
      </c>
      <c r="BH52" s="18">
        <f t="shared" si="191"/>
        <v>0</v>
      </c>
      <c r="BI52" s="18">
        <f t="shared" si="191"/>
        <v>4.028180726134895E-5</v>
      </c>
      <c r="BJ52" s="18">
        <f t="shared" si="191"/>
        <v>0</v>
      </c>
      <c r="BK52" s="18">
        <f t="shared" si="191"/>
        <v>0</v>
      </c>
      <c r="BL52" s="18">
        <f t="shared" si="191"/>
        <v>0</v>
      </c>
      <c r="BM52" s="18">
        <f t="shared" si="191"/>
        <v>2.7290134274188863E-6</v>
      </c>
    </row>
    <row r="53" spans="1:65">
      <c r="A53" s="20"/>
      <c r="B53" s="20"/>
      <c r="C53" s="20"/>
      <c r="D53" s="20"/>
      <c r="E53" s="23" t="s">
        <v>500</v>
      </c>
      <c r="F53" s="23" t="s">
        <v>505</v>
      </c>
      <c r="G53" s="80">
        <f t="shared" ref="G53:BF53" si="192">G38</f>
        <v>0.78189093673477073</v>
      </c>
      <c r="H53" s="80">
        <f t="shared" si="192"/>
        <v>0.97172170185594897</v>
      </c>
      <c r="I53" s="80">
        <f t="shared" si="192"/>
        <v>0.80488227923702738</v>
      </c>
      <c r="J53" s="81">
        <f t="shared" si="192"/>
        <v>30127.44683955186</v>
      </c>
      <c r="K53" s="81">
        <f t="shared" si="192"/>
        <v>38643.054444386631</v>
      </c>
      <c r="L53" s="9">
        <f t="shared" si="192"/>
        <v>948.44661263939497</v>
      </c>
      <c r="M53" s="9">
        <f t="shared" si="192"/>
        <v>21.355357524603665</v>
      </c>
      <c r="N53" s="9">
        <f t="shared" si="192"/>
        <v>23.908062271298643</v>
      </c>
      <c r="O53" s="9">
        <f t="shared" si="192"/>
        <v>9.5781449090951618</v>
      </c>
      <c r="P53" s="9">
        <f t="shared" si="192"/>
        <v>0.5785360275278878</v>
      </c>
      <c r="Q53" s="9">
        <f t="shared" si="192"/>
        <v>290.52548202758618</v>
      </c>
      <c r="R53" s="2">
        <f t="shared" si="192"/>
        <v>0.51910000000000001</v>
      </c>
      <c r="S53" s="2">
        <f t="shared" si="192"/>
        <v>1687.6941842602919</v>
      </c>
      <c r="T53" s="2">
        <f t="shared" si="192"/>
        <v>40.004877239198102</v>
      </c>
      <c r="U53" s="2">
        <f t="shared" si="192"/>
        <v>43.936208337994167</v>
      </c>
      <c r="V53" s="2">
        <f t="shared" si="192"/>
        <v>11.664948066834596</v>
      </c>
      <c r="W53" s="2">
        <f t="shared" si="192"/>
        <v>1.0256170624933119</v>
      </c>
      <c r="X53" s="2">
        <f t="shared" si="192"/>
        <v>0.12460052176033139</v>
      </c>
      <c r="Y53" s="2">
        <f t="shared" si="192"/>
        <v>7.3451586159843956</v>
      </c>
      <c r="Z53" s="2">
        <f t="shared" si="192"/>
        <v>3.6855358949871566</v>
      </c>
      <c r="AA53" s="2">
        <f t="shared" si="192"/>
        <v>6.6191461234388793E-2</v>
      </c>
      <c r="AB53" s="18">
        <f t="shared" si="192"/>
        <v>1.007046757480638E-4</v>
      </c>
      <c r="AC53" s="18">
        <f t="shared" si="192"/>
        <v>1.2015575373459974E-4</v>
      </c>
      <c r="AD53" s="18">
        <f t="shared" si="192"/>
        <v>7.5299515342536343E-5</v>
      </c>
      <c r="AE53" s="18">
        <f t="shared" si="192"/>
        <v>4.009006421841149E-5</v>
      </c>
      <c r="AF53" s="18">
        <f t="shared" si="192"/>
        <v>8.2989024334188691E-5</v>
      </c>
      <c r="AG53" s="18">
        <f t="shared" si="192"/>
        <v>5.8319155342848169E-3</v>
      </c>
      <c r="AH53" s="18">
        <f t="shared" si="192"/>
        <v>7.9974555286253055E-3</v>
      </c>
      <c r="AI53" s="18">
        <f t="shared" si="192"/>
        <v>1.4145572700528653E-2</v>
      </c>
      <c r="AJ53" s="18">
        <f t="shared" si="192"/>
        <v>2.3153559030416426E-3</v>
      </c>
      <c r="AK53" s="18">
        <f t="shared" si="192"/>
        <v>4.6902134884895665E-5</v>
      </c>
      <c r="AL53" s="18">
        <f t="shared" si="192"/>
        <v>0</v>
      </c>
      <c r="AM53" s="18">
        <f t="shared" si="192"/>
        <v>0</v>
      </c>
      <c r="AN53" s="18">
        <f t="shared" si="192"/>
        <v>2.240779140904471E-5</v>
      </c>
      <c r="AO53" s="18">
        <f t="shared" si="192"/>
        <v>7.5009532139445572E-5</v>
      </c>
      <c r="AP53" s="18">
        <f t="shared" si="192"/>
        <v>0</v>
      </c>
      <c r="AQ53" s="18">
        <f t="shared" si="192"/>
        <v>0</v>
      </c>
      <c r="AR53" s="18">
        <f t="shared" si="192"/>
        <v>2.6014181886778807E-5</v>
      </c>
      <c r="AS53" s="18">
        <f t="shared" si="192"/>
        <v>1.100687506885911E-3</v>
      </c>
      <c r="AT53" s="18">
        <f t="shared" si="192"/>
        <v>0</v>
      </c>
      <c r="AU53" s="18">
        <f t="shared" si="192"/>
        <v>7.7644081852471423E-6</v>
      </c>
      <c r="AV53" s="18">
        <f t="shared" si="192"/>
        <v>0</v>
      </c>
      <c r="AW53" s="18">
        <f t="shared" si="192"/>
        <v>1.4336424611002913E-5</v>
      </c>
      <c r="AX53" s="18">
        <f t="shared" si="192"/>
        <v>3.8011137047617455E-5</v>
      </c>
      <c r="AY53" s="18">
        <f t="shared" si="192"/>
        <v>7.3867194503433043E-5</v>
      </c>
      <c r="AZ53" s="18">
        <f t="shared" si="192"/>
        <v>2.7525484537514022E-5</v>
      </c>
      <c r="BA53" s="18">
        <f t="shared" si="192"/>
        <v>0</v>
      </c>
      <c r="BB53" s="18">
        <f t="shared" si="192"/>
        <v>1.3863809684004888E-5</v>
      </c>
      <c r="BC53" s="18">
        <f t="shared" si="192"/>
        <v>0</v>
      </c>
      <c r="BD53" s="18">
        <f t="shared" si="192"/>
        <v>3.0413488788184222E-5</v>
      </c>
      <c r="BE53" s="18">
        <f t="shared" si="192"/>
        <v>2.7591699665225415E-5</v>
      </c>
      <c r="BF53" s="18">
        <f t="shared" si="192"/>
        <v>1.2498070406542801E-4</v>
      </c>
      <c r="BG53" s="18">
        <f t="shared" ref="BG53:BM53" si="193">BG38</f>
        <v>1.329433716356723E-4</v>
      </c>
      <c r="BH53" s="18">
        <f t="shared" si="193"/>
        <v>1.9244988301166715E-4</v>
      </c>
      <c r="BI53" s="18">
        <f t="shared" si="193"/>
        <v>7.8365381683481275E-5</v>
      </c>
      <c r="BJ53" s="18">
        <f t="shared" si="193"/>
        <v>4.248564873859605E-5</v>
      </c>
      <c r="BK53" s="18">
        <f t="shared" si="193"/>
        <v>0</v>
      </c>
      <c r="BL53" s="18">
        <f t="shared" si="193"/>
        <v>2.0375539286665289E-5</v>
      </c>
      <c r="BM53" s="18">
        <f t="shared" si="193"/>
        <v>0</v>
      </c>
    </row>
    <row r="54" spans="1:65">
      <c r="A54" s="20"/>
      <c r="B54" s="20"/>
      <c r="C54" s="20"/>
      <c r="D54" s="20"/>
      <c r="E54" s="23" t="s">
        <v>506</v>
      </c>
      <c r="F54" s="23" t="s">
        <v>501</v>
      </c>
      <c r="G54" s="80">
        <f t="shared" ref="G54:BF54" si="194">G41</f>
        <v>0.68658002264748308</v>
      </c>
      <c r="H54" s="80">
        <f t="shared" si="194"/>
        <v>0.93067355236181082</v>
      </c>
      <c r="I54" s="80">
        <f t="shared" si="194"/>
        <v>0.73809103668506726</v>
      </c>
      <c r="J54" s="81">
        <f t="shared" si="194"/>
        <v>76891.72257833599</v>
      </c>
      <c r="K54" s="81">
        <f t="shared" si="194"/>
        <v>112171.39051658609</v>
      </c>
      <c r="L54" s="9">
        <f t="shared" si="194"/>
        <v>3185.7946907121136</v>
      </c>
      <c r="M54" s="9">
        <f t="shared" si="194"/>
        <v>142.04796601518768</v>
      </c>
      <c r="N54" s="9">
        <f t="shared" si="194"/>
        <v>58.169679337670104</v>
      </c>
      <c r="O54" s="9">
        <f t="shared" si="194"/>
        <v>10.237232965556736</v>
      </c>
      <c r="P54" s="9">
        <f t="shared" si="194"/>
        <v>1.9304235846726345</v>
      </c>
      <c r="Q54" s="9">
        <f t="shared" si="194"/>
        <v>981.00393570358244</v>
      </c>
      <c r="R54" s="2">
        <f t="shared" si="194"/>
        <v>0.52010000000000001</v>
      </c>
      <c r="S54" s="2">
        <f t="shared" si="194"/>
        <v>1685.0142103815174</v>
      </c>
      <c r="T54" s="2">
        <f t="shared" si="194"/>
        <v>76.064059069135013</v>
      </c>
      <c r="U54" s="2">
        <f t="shared" si="194"/>
        <v>31.787243073081932</v>
      </c>
      <c r="V54" s="2">
        <f t="shared" si="194"/>
        <v>5.5051000001150125</v>
      </c>
      <c r="W54" s="2">
        <f t="shared" si="194"/>
        <v>1.0154171958703178</v>
      </c>
      <c r="X54" s="2">
        <f t="shared" si="194"/>
        <v>0.78065238756094701</v>
      </c>
      <c r="Y54" s="2">
        <f t="shared" si="194"/>
        <v>7.9955010469142449</v>
      </c>
      <c r="Z54" s="2">
        <f t="shared" si="194"/>
        <v>4.9945573040071114</v>
      </c>
      <c r="AA54" s="2">
        <f t="shared" si="194"/>
        <v>0.44463061264061537</v>
      </c>
      <c r="AB54" s="18">
        <f t="shared" si="194"/>
        <v>1.8126709572579339E-3</v>
      </c>
      <c r="AC54" s="18">
        <f t="shared" si="194"/>
        <v>2.0646058387470057E-4</v>
      </c>
      <c r="AD54" s="18">
        <f t="shared" si="194"/>
        <v>0</v>
      </c>
      <c r="AE54" s="18">
        <f t="shared" si="194"/>
        <v>1.7538371441439709E-3</v>
      </c>
      <c r="AF54" s="18">
        <f t="shared" si="194"/>
        <v>9.171006694495693E-5</v>
      </c>
      <c r="AG54" s="18">
        <f t="shared" si="194"/>
        <v>1.0350388708853598E-2</v>
      </c>
      <c r="AH54" s="18">
        <f t="shared" si="194"/>
        <v>1.6502652080329711E-2</v>
      </c>
      <c r="AI54" s="18">
        <f t="shared" si="194"/>
        <v>1.7331790036922083E-2</v>
      </c>
      <c r="AJ54" s="18">
        <f t="shared" si="194"/>
        <v>4.0944707525107388E-3</v>
      </c>
      <c r="AK54" s="18">
        <f t="shared" si="194"/>
        <v>7.3071462214842063E-5</v>
      </c>
      <c r="AL54" s="18">
        <f t="shared" si="194"/>
        <v>0</v>
      </c>
      <c r="AM54" s="18">
        <f t="shared" si="194"/>
        <v>8.8217959959346664E-4</v>
      </c>
      <c r="AN54" s="18">
        <f t="shared" si="194"/>
        <v>1.4840407450245535E-4</v>
      </c>
      <c r="AO54" s="18">
        <f t="shared" si="194"/>
        <v>2.3132943875499236E-3</v>
      </c>
      <c r="AP54" s="18">
        <f t="shared" si="194"/>
        <v>8.8910063867051382E-6</v>
      </c>
      <c r="AQ54" s="18">
        <f t="shared" si="194"/>
        <v>1.5106077260923747E-4</v>
      </c>
      <c r="AR54" s="18">
        <f t="shared" si="194"/>
        <v>1.1378195595754364E-5</v>
      </c>
      <c r="AS54" s="18">
        <f t="shared" si="194"/>
        <v>3.9018793552685919E-3</v>
      </c>
      <c r="AT54" s="18">
        <f t="shared" si="194"/>
        <v>5.3303275270617547E-6</v>
      </c>
      <c r="AU54" s="18">
        <f t="shared" si="194"/>
        <v>2.8045570081174107E-5</v>
      </c>
      <c r="AV54" s="18">
        <f t="shared" si="194"/>
        <v>1.3559212343433732E-5</v>
      </c>
      <c r="AW54" s="18">
        <f t="shared" si="194"/>
        <v>1.7505386163939695E-5</v>
      </c>
      <c r="AX54" s="18">
        <f t="shared" si="194"/>
        <v>4.104684734096987E-5</v>
      </c>
      <c r="AY54" s="18">
        <f t="shared" si="194"/>
        <v>1.1584446726136564E-5</v>
      </c>
      <c r="AZ54" s="18">
        <f t="shared" si="194"/>
        <v>0</v>
      </c>
      <c r="BA54" s="18">
        <f t="shared" si="194"/>
        <v>1.8746703520642465E-5</v>
      </c>
      <c r="BB54" s="18">
        <f t="shared" si="194"/>
        <v>4.2223727880504099E-5</v>
      </c>
      <c r="BC54" s="18">
        <f t="shared" si="194"/>
        <v>4.8583613970260805E-6</v>
      </c>
      <c r="BD54" s="18">
        <f t="shared" si="194"/>
        <v>1.5632796623624693E-4</v>
      </c>
      <c r="BE54" s="18">
        <f t="shared" si="194"/>
        <v>7.9645570853599973E-5</v>
      </c>
      <c r="BF54" s="18">
        <f t="shared" si="194"/>
        <v>3.2590969596833763E-4</v>
      </c>
      <c r="BG54" s="18">
        <f t="shared" ref="BG54:BM54" si="195">BG41</f>
        <v>6.7660479395578526E-4</v>
      </c>
      <c r="BH54" s="18">
        <f t="shared" si="195"/>
        <v>8.1002580765822776E-4</v>
      </c>
      <c r="BI54" s="18">
        <f t="shared" si="195"/>
        <v>3.8224506801595829E-4</v>
      </c>
      <c r="BJ54" s="18">
        <f t="shared" si="195"/>
        <v>0</v>
      </c>
      <c r="BK54" s="18">
        <f t="shared" si="195"/>
        <v>7.5263072520704519E-6</v>
      </c>
      <c r="BL54" s="18">
        <f t="shared" si="195"/>
        <v>5.8474156098303333E-5</v>
      </c>
      <c r="BM54" s="18">
        <f t="shared" si="195"/>
        <v>7.1406558404900648E-5</v>
      </c>
    </row>
    <row r="55" spans="1:65">
      <c r="A55" s="20"/>
      <c r="B55" s="20"/>
      <c r="C55" s="20"/>
      <c r="D55" s="20"/>
      <c r="E55" s="23" t="s">
        <v>506</v>
      </c>
      <c r="F55" s="23" t="s">
        <v>504</v>
      </c>
      <c r="G55" s="80">
        <f t="shared" ref="G55:BF55" si="196">G44</f>
        <v>0.78547119842750612</v>
      </c>
      <c r="H55" s="80">
        <f t="shared" si="196"/>
        <v>0.98592380358628562</v>
      </c>
      <c r="I55" s="80">
        <f t="shared" si="196"/>
        <v>0.7966808746883931</v>
      </c>
      <c r="J55" s="81">
        <f t="shared" si="196"/>
        <v>45153.26177734114</v>
      </c>
      <c r="K55" s="81">
        <f t="shared" si="196"/>
        <v>57476.863270315931</v>
      </c>
      <c r="L55" s="9">
        <f t="shared" si="196"/>
        <v>1946.2195269403649</v>
      </c>
      <c r="M55" s="9">
        <f t="shared" si="196"/>
        <v>25.924661636196518</v>
      </c>
      <c r="N55" s="9">
        <f t="shared" si="196"/>
        <v>17.411693858456363</v>
      </c>
      <c r="O55" s="9">
        <f t="shared" si="196"/>
        <v>7.3053884204827426</v>
      </c>
      <c r="P55" s="9">
        <f t="shared" si="196"/>
        <v>1.4658411377605964</v>
      </c>
      <c r="Q55" s="9">
        <f t="shared" si="196"/>
        <v>560.42394579735992</v>
      </c>
      <c r="R55" s="2">
        <f t="shared" si="196"/>
        <v>0.52010000000000001</v>
      </c>
      <c r="S55" s="2">
        <f t="shared" si="196"/>
        <v>1805.8047035247751</v>
      </c>
      <c r="T55" s="2">
        <f t="shared" si="196"/>
        <v>24.154054779049975</v>
      </c>
      <c r="U55" s="2">
        <f t="shared" si="196"/>
        <v>16.231906190559478</v>
      </c>
      <c r="V55" s="2">
        <f t="shared" si="196"/>
        <v>6.7905676909556245</v>
      </c>
      <c r="W55" s="2">
        <f t="shared" si="196"/>
        <v>1.3629442595950352</v>
      </c>
      <c r="X55" s="2">
        <f t="shared" si="196"/>
        <v>0.31487891987788663</v>
      </c>
      <c r="Y55" s="2">
        <f t="shared" si="196"/>
        <v>2.496762340202034</v>
      </c>
      <c r="Z55" s="2">
        <f t="shared" si="196"/>
        <v>0.79619677208422757</v>
      </c>
      <c r="AA55" s="2">
        <f t="shared" si="196"/>
        <v>0.14748289834905709</v>
      </c>
      <c r="AB55" s="18">
        <f t="shared" si="196"/>
        <v>3.8176648501271897E-4</v>
      </c>
      <c r="AC55" s="18">
        <f t="shared" si="196"/>
        <v>0</v>
      </c>
      <c r="AD55" s="18">
        <f t="shared" si="196"/>
        <v>0</v>
      </c>
      <c r="AE55" s="18">
        <f t="shared" si="196"/>
        <v>9.8346139154591492E-5</v>
      </c>
      <c r="AF55" s="18">
        <f t="shared" si="196"/>
        <v>0</v>
      </c>
      <c r="AG55" s="18">
        <f t="shared" si="196"/>
        <v>7.1439912750201088E-3</v>
      </c>
      <c r="AH55" s="18">
        <f t="shared" si="196"/>
        <v>7.5550725171106784E-3</v>
      </c>
      <c r="AI55" s="18">
        <f t="shared" si="196"/>
        <v>1.3733711925595866E-2</v>
      </c>
      <c r="AJ55" s="18">
        <f t="shared" si="196"/>
        <v>4.0198665049281934E-4</v>
      </c>
      <c r="AK55" s="18">
        <f t="shared" si="196"/>
        <v>0</v>
      </c>
      <c r="AL55" s="18">
        <f t="shared" si="196"/>
        <v>0</v>
      </c>
      <c r="AM55" s="18">
        <f t="shared" si="196"/>
        <v>3.8615769660332622E-4</v>
      </c>
      <c r="AN55" s="18">
        <f t="shared" si="196"/>
        <v>7.3390158202469539E-6</v>
      </c>
      <c r="AO55" s="18">
        <f t="shared" si="196"/>
        <v>1.5793785106138936E-4</v>
      </c>
      <c r="AP55" s="18">
        <f t="shared" si="196"/>
        <v>0</v>
      </c>
      <c r="AQ55" s="18">
        <f t="shared" si="196"/>
        <v>0</v>
      </c>
      <c r="AR55" s="18">
        <f t="shared" si="196"/>
        <v>7.4608342693776135E-6</v>
      </c>
      <c r="AS55" s="18">
        <f t="shared" si="196"/>
        <v>3.0184563043956112E-3</v>
      </c>
      <c r="AT55" s="18">
        <f t="shared" si="196"/>
        <v>0</v>
      </c>
      <c r="AU55" s="18">
        <f t="shared" si="196"/>
        <v>0</v>
      </c>
      <c r="AV55" s="18">
        <f t="shared" si="196"/>
        <v>0</v>
      </c>
      <c r="AW55" s="18">
        <f t="shared" si="196"/>
        <v>5.0470349469319154E-6</v>
      </c>
      <c r="AX55" s="18">
        <f t="shared" si="196"/>
        <v>1.4387616605986151E-5</v>
      </c>
      <c r="AY55" s="18">
        <f t="shared" si="196"/>
        <v>5.4553485144263065E-5</v>
      </c>
      <c r="AZ55" s="18">
        <f t="shared" si="196"/>
        <v>0</v>
      </c>
      <c r="BA55" s="18">
        <f t="shared" si="196"/>
        <v>1.1131734034795002E-6</v>
      </c>
      <c r="BB55" s="18">
        <f t="shared" si="196"/>
        <v>0</v>
      </c>
      <c r="BC55" s="18">
        <f t="shared" si="196"/>
        <v>0</v>
      </c>
      <c r="BD55" s="18">
        <f t="shared" si="196"/>
        <v>0</v>
      </c>
      <c r="BE55" s="18">
        <f t="shared" si="196"/>
        <v>0</v>
      </c>
      <c r="BF55" s="18">
        <f t="shared" si="196"/>
        <v>4.9678950171623654E-5</v>
      </c>
      <c r="BG55" s="18">
        <f t="shared" ref="BG55:BM55" si="197">BG44</f>
        <v>0</v>
      </c>
      <c r="BH55" s="18">
        <f t="shared" si="197"/>
        <v>1.0423224346924604E-4</v>
      </c>
      <c r="BI55" s="18">
        <f t="shared" si="197"/>
        <v>4.9592604261157064E-5</v>
      </c>
      <c r="BJ55" s="18">
        <f t="shared" si="197"/>
        <v>3.071941382548953E-5</v>
      </c>
      <c r="BK55" s="18">
        <f t="shared" si="197"/>
        <v>2.077514077212878E-5</v>
      </c>
      <c r="BL55" s="18">
        <f t="shared" si="197"/>
        <v>0</v>
      </c>
      <c r="BM55" s="18">
        <f t="shared" si="197"/>
        <v>2.8503755781345718E-5</v>
      </c>
    </row>
    <row r="56" spans="1:65">
      <c r="A56" s="20"/>
      <c r="B56" s="20"/>
      <c r="C56" s="20"/>
      <c r="D56" s="20"/>
      <c r="E56" s="23" t="s">
        <v>506</v>
      </c>
      <c r="F56" s="23" t="s">
        <v>505</v>
      </c>
      <c r="G56" s="80">
        <f t="shared" ref="G56:BF56" si="198">G47</f>
        <v>0.80748994043294353</v>
      </c>
      <c r="H56" s="80">
        <f t="shared" si="198"/>
        <v>0.98677598051762949</v>
      </c>
      <c r="I56" s="80">
        <f t="shared" si="198"/>
        <v>0.81831022733943504</v>
      </c>
      <c r="J56" s="81">
        <f t="shared" si="198"/>
        <v>25038.278137939382</v>
      </c>
      <c r="K56" s="81">
        <f t="shared" si="198"/>
        <v>31014.299450169929</v>
      </c>
      <c r="L56" s="9">
        <f t="shared" si="198"/>
        <v>1165.523110823674</v>
      </c>
      <c r="M56" s="9">
        <f t="shared" si="198"/>
        <v>9.2809472965397859</v>
      </c>
      <c r="N56" s="9">
        <f t="shared" si="198"/>
        <v>13.193122235313858</v>
      </c>
      <c r="O56" s="9">
        <f t="shared" si="198"/>
        <v>7.7428492629978214</v>
      </c>
      <c r="P56" s="9">
        <f t="shared" si="198"/>
        <v>1.1160275448926946</v>
      </c>
      <c r="Q56" s="9">
        <f t="shared" si="198"/>
        <v>337.53965917376985</v>
      </c>
      <c r="R56" s="2">
        <f t="shared" si="198"/>
        <v>0.52010000000000001</v>
      </c>
      <c r="S56" s="2">
        <f t="shared" si="198"/>
        <v>1796.366573852325</v>
      </c>
      <c r="T56" s="2">
        <f t="shared" si="198"/>
        <v>14.124025108100591</v>
      </c>
      <c r="U56" s="2">
        <f t="shared" si="198"/>
        <v>20.266032631630186</v>
      </c>
      <c r="V56" s="2">
        <f t="shared" si="198"/>
        <v>11.925661112684816</v>
      </c>
      <c r="W56" s="2">
        <f t="shared" si="198"/>
        <v>1.7238605665216979</v>
      </c>
      <c r="X56" s="2">
        <f t="shared" si="198"/>
        <v>3.6563950536559607E-2</v>
      </c>
      <c r="Y56" s="2">
        <f t="shared" si="198"/>
        <v>0.63835019693309203</v>
      </c>
      <c r="Z56" s="2">
        <f t="shared" si="198"/>
        <v>0.28433726269284132</v>
      </c>
      <c r="AA56" s="2">
        <f t="shared" si="198"/>
        <v>4.2965160156562286E-2</v>
      </c>
      <c r="AB56" s="18">
        <f t="shared" si="198"/>
        <v>0</v>
      </c>
      <c r="AC56" s="18">
        <f t="shared" si="198"/>
        <v>1.6124425428719406E-4</v>
      </c>
      <c r="AD56" s="18">
        <f t="shared" si="198"/>
        <v>0</v>
      </c>
      <c r="AE56" s="18">
        <f t="shared" si="198"/>
        <v>8.6495786087049682E-4</v>
      </c>
      <c r="AF56" s="18">
        <f t="shared" si="198"/>
        <v>2.8624519455711385E-5</v>
      </c>
      <c r="AG56" s="18">
        <f t="shared" si="198"/>
        <v>4.1595994956356705E-3</v>
      </c>
      <c r="AH56" s="18">
        <f t="shared" si="198"/>
        <v>3.6398437815755753E-3</v>
      </c>
      <c r="AI56" s="18">
        <f t="shared" si="198"/>
        <v>1.0334558422709299E-2</v>
      </c>
      <c r="AJ56" s="18">
        <f t="shared" si="198"/>
        <v>0</v>
      </c>
      <c r="AK56" s="18">
        <f t="shared" si="198"/>
        <v>0</v>
      </c>
      <c r="AL56" s="18">
        <f t="shared" si="198"/>
        <v>3.6210730817467616E-6</v>
      </c>
      <c r="AM56" s="18">
        <f t="shared" si="198"/>
        <v>5.0745026742087169E-4</v>
      </c>
      <c r="AN56" s="18">
        <f t="shared" si="198"/>
        <v>0</v>
      </c>
      <c r="AO56" s="18">
        <f t="shared" si="198"/>
        <v>0</v>
      </c>
      <c r="AP56" s="18">
        <f t="shared" si="198"/>
        <v>0</v>
      </c>
      <c r="AQ56" s="18">
        <f t="shared" si="198"/>
        <v>0</v>
      </c>
      <c r="AR56" s="18">
        <f t="shared" si="198"/>
        <v>6.0158145407576776E-6</v>
      </c>
      <c r="AS56" s="18">
        <f t="shared" si="198"/>
        <v>8.0015589625238826E-4</v>
      </c>
      <c r="AT56" s="18">
        <f t="shared" si="198"/>
        <v>0</v>
      </c>
      <c r="AU56" s="18">
        <f t="shared" si="198"/>
        <v>2.3622199577968525E-6</v>
      </c>
      <c r="AV56" s="18">
        <f t="shared" si="198"/>
        <v>0</v>
      </c>
      <c r="AW56" s="18">
        <f t="shared" si="198"/>
        <v>8.5915369539532868E-6</v>
      </c>
      <c r="AX56" s="18">
        <f t="shared" si="198"/>
        <v>6.8888905186074962E-6</v>
      </c>
      <c r="AY56" s="18">
        <f t="shared" si="198"/>
        <v>3.210579622561622E-5</v>
      </c>
      <c r="AZ56" s="18">
        <f t="shared" si="198"/>
        <v>0</v>
      </c>
      <c r="BA56" s="18">
        <f t="shared" si="198"/>
        <v>2.2944036059019404E-6</v>
      </c>
      <c r="BB56" s="18">
        <f t="shared" si="198"/>
        <v>1.2070525795759351E-6</v>
      </c>
      <c r="BC56" s="18">
        <f t="shared" si="198"/>
        <v>6.1449949505683965E-6</v>
      </c>
      <c r="BD56" s="18">
        <f t="shared" si="198"/>
        <v>0</v>
      </c>
      <c r="BE56" s="18">
        <f t="shared" si="198"/>
        <v>4.9379492457013681E-5</v>
      </c>
      <c r="BF56" s="18">
        <f t="shared" si="198"/>
        <v>3.4049029213487131E-5</v>
      </c>
      <c r="BG56" s="18">
        <f t="shared" ref="BG56:BM56" si="199">BG47</f>
        <v>2.1619936341017424E-5</v>
      </c>
      <c r="BH56" s="18">
        <f t="shared" si="199"/>
        <v>2.5573598673539837E-5</v>
      </c>
      <c r="BI56" s="18">
        <f t="shared" si="199"/>
        <v>9.6277943114678611E-5</v>
      </c>
      <c r="BJ56" s="18">
        <f t="shared" si="199"/>
        <v>0</v>
      </c>
      <c r="BK56" s="18">
        <f t="shared" si="199"/>
        <v>1.1278383163958355E-6</v>
      </c>
      <c r="BL56" s="18">
        <f t="shared" si="199"/>
        <v>2.5238372118405915E-6</v>
      </c>
      <c r="BM56" s="18">
        <f t="shared" si="199"/>
        <v>0</v>
      </c>
    </row>
    <row r="57" spans="1:65">
      <c r="A57" s="20"/>
      <c r="B57" s="20"/>
      <c r="C57" s="20"/>
      <c r="D57" s="20"/>
      <c r="E57" s="23"/>
      <c r="F57" s="23"/>
      <c r="G57" s="80"/>
      <c r="H57" s="80"/>
      <c r="I57" s="80"/>
      <c r="J57" s="81"/>
      <c r="K57" s="81"/>
      <c r="L57" s="9"/>
      <c r="M57" s="9"/>
      <c r="N57" s="9"/>
      <c r="O57" s="9"/>
      <c r="P57" s="9"/>
      <c r="Q57" s="9"/>
      <c r="S57" s="2"/>
      <c r="T57" s="2"/>
      <c r="U57" s="2"/>
      <c r="V57" s="2"/>
      <c r="W57" s="2"/>
      <c r="X57" s="2"/>
      <c r="Y57" s="2"/>
      <c r="Z57" s="2"/>
      <c r="AA57" s="2"/>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row>
    <row r="58" spans="1:65">
      <c r="A58" s="20"/>
      <c r="B58" s="20"/>
      <c r="C58" s="20"/>
      <c r="D58" s="20"/>
      <c r="E58" s="23" t="s">
        <v>503</v>
      </c>
      <c r="F58" s="23"/>
      <c r="G58" s="80"/>
      <c r="H58" s="80"/>
      <c r="I58" s="80"/>
      <c r="J58" s="81"/>
      <c r="K58" s="81"/>
      <c r="L58" s="9"/>
      <c r="M58" s="9"/>
      <c r="N58" s="9"/>
      <c r="O58" s="9"/>
      <c r="P58" s="9"/>
      <c r="Q58" s="9"/>
      <c r="S58" s="2"/>
      <c r="T58" s="2"/>
      <c r="U58" s="2"/>
      <c r="V58" s="2"/>
      <c r="W58" s="2"/>
      <c r="X58" s="2"/>
      <c r="Y58" s="2"/>
      <c r="Z58" s="2"/>
      <c r="AA58" s="2"/>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row>
    <row r="59" spans="1:65">
      <c r="A59" s="20"/>
      <c r="B59" s="20"/>
      <c r="C59" s="20"/>
      <c r="D59" s="20"/>
      <c r="E59" s="23" t="s">
        <v>500</v>
      </c>
      <c r="F59" s="23" t="str">
        <f t="shared" ref="F59:F64" si="200">F51</f>
        <v>Startup</v>
      </c>
      <c r="G59" s="80">
        <f t="shared" ref="G59:BF59" si="201">G33</f>
        <v>3.2997076386939807E-2</v>
      </c>
      <c r="H59" s="80">
        <f t="shared" si="201"/>
        <v>2.8416308771643151E-3</v>
      </c>
      <c r="I59" s="80">
        <f t="shared" si="201"/>
        <v>3.4946632142342775E-2</v>
      </c>
      <c r="J59" s="81">
        <f t="shared" si="201"/>
        <v>13367.586638830682</v>
      </c>
      <c r="K59" s="81">
        <f t="shared" si="201"/>
        <v>18861.552155651811</v>
      </c>
      <c r="L59" s="9">
        <f t="shared" si="201"/>
        <v>572.70686485365673</v>
      </c>
      <c r="M59" s="9">
        <f t="shared" si="201"/>
        <v>25.04447961300599</v>
      </c>
      <c r="N59" s="9">
        <f t="shared" si="201"/>
        <v>8.792822115460563</v>
      </c>
      <c r="O59" s="9">
        <f t="shared" si="201"/>
        <v>0.91917136153154244</v>
      </c>
      <c r="P59" s="9">
        <f t="shared" si="201"/>
        <v>0.48968073858912264</v>
      </c>
      <c r="Q59" s="9">
        <f t="shared" si="201"/>
        <v>163.64438564221703</v>
      </c>
      <c r="R59" s="2">
        <f t="shared" si="201"/>
        <v>0</v>
      </c>
      <c r="S59" s="2">
        <f t="shared" si="201"/>
        <v>31.987845503026911</v>
      </c>
      <c r="T59" s="2">
        <f t="shared" si="201"/>
        <v>6.0768593468068062</v>
      </c>
      <c r="U59" s="2">
        <f t="shared" si="201"/>
        <v>6.7666220057843667</v>
      </c>
      <c r="V59" s="2">
        <f t="shared" si="201"/>
        <v>2.2158665615571564</v>
      </c>
      <c r="W59" s="2">
        <f t="shared" si="201"/>
        <v>0.19090084611508604</v>
      </c>
      <c r="X59" s="2">
        <f t="shared" si="201"/>
        <v>0.34747557889647734</v>
      </c>
      <c r="Y59" s="2">
        <f t="shared" si="201"/>
        <v>3.1762169356489922</v>
      </c>
      <c r="Z59" s="2">
        <f t="shared" si="201"/>
        <v>2.023256555528715</v>
      </c>
      <c r="AA59" s="2">
        <f t="shared" si="201"/>
        <v>8.6889247548492726E-2</v>
      </c>
      <c r="AB59" s="18">
        <f t="shared" si="201"/>
        <v>5.490691838033736E-3</v>
      </c>
      <c r="AC59" s="18">
        <f t="shared" si="201"/>
        <v>1.8818471355426683E-3</v>
      </c>
      <c r="AD59" s="18">
        <f t="shared" si="201"/>
        <v>0</v>
      </c>
      <c r="AE59" s="18">
        <f t="shared" si="201"/>
        <v>1.1065514239936868E-3</v>
      </c>
      <c r="AF59" s="18">
        <f t="shared" si="201"/>
        <v>9.7490166377695207E-5</v>
      </c>
      <c r="AG59" s="18">
        <f t="shared" si="201"/>
        <v>6.2337133360294275E-3</v>
      </c>
      <c r="AH59" s="18">
        <f t="shared" si="201"/>
        <v>3.6209869339916033E-3</v>
      </c>
      <c r="AI59" s="18">
        <f t="shared" si="201"/>
        <v>3.8470950153130421E-3</v>
      </c>
      <c r="AJ59" s="18">
        <f t="shared" si="201"/>
        <v>9.8962384699758082E-4</v>
      </c>
      <c r="AK59" s="18">
        <f t="shared" si="201"/>
        <v>3.406037477442865E-4</v>
      </c>
      <c r="AL59" s="18">
        <f t="shared" si="201"/>
        <v>5.5342039282689358E-5</v>
      </c>
      <c r="AM59" s="18">
        <f t="shared" si="201"/>
        <v>0</v>
      </c>
      <c r="AN59" s="18">
        <f t="shared" si="201"/>
        <v>9.549082276779451E-5</v>
      </c>
      <c r="AO59" s="18">
        <f t="shared" si="201"/>
        <v>1.7191689211073607E-4</v>
      </c>
      <c r="AP59" s="18">
        <f t="shared" si="201"/>
        <v>3.5242507333279932E-5</v>
      </c>
      <c r="AQ59" s="18">
        <f t="shared" si="201"/>
        <v>1.9660870536035275E-5</v>
      </c>
      <c r="AR59" s="18">
        <f t="shared" si="201"/>
        <v>2.9087834277850133E-5</v>
      </c>
      <c r="AS59" s="18">
        <f t="shared" si="201"/>
        <v>8.2705983190870869E-4</v>
      </c>
      <c r="AT59" s="18">
        <f t="shared" si="201"/>
        <v>1.548980574368628E-5</v>
      </c>
      <c r="AU59" s="18">
        <f t="shared" si="201"/>
        <v>3.0133530778382642E-5</v>
      </c>
      <c r="AV59" s="18">
        <f t="shared" si="201"/>
        <v>2.0671146569640352E-5</v>
      </c>
      <c r="AW59" s="18">
        <f t="shared" si="201"/>
        <v>5.0528076179778741E-5</v>
      </c>
      <c r="AX59" s="18">
        <f t="shared" si="201"/>
        <v>8.9954761807134573E-5</v>
      </c>
      <c r="AY59" s="18">
        <f t="shared" si="201"/>
        <v>4.0179747972185466E-5</v>
      </c>
      <c r="AZ59" s="18">
        <f t="shared" si="201"/>
        <v>5.1353232054169352E-5</v>
      </c>
      <c r="BA59" s="18">
        <f t="shared" si="201"/>
        <v>8.9065264673670583E-5</v>
      </c>
      <c r="BB59" s="18">
        <f t="shared" si="201"/>
        <v>1.429192601642711E-4</v>
      </c>
      <c r="BC59" s="18">
        <f t="shared" si="201"/>
        <v>9.0273164066994495E-5</v>
      </c>
      <c r="BD59" s="18">
        <f t="shared" si="201"/>
        <v>1.406219209012708E-4</v>
      </c>
      <c r="BE59" s="18">
        <f t="shared" si="201"/>
        <v>3.5389284812881145E-4</v>
      </c>
      <c r="BF59" s="18">
        <f t="shared" si="201"/>
        <v>4.4800882795841918E-4</v>
      </c>
      <c r="BG59" s="18">
        <f t="shared" ref="BG59:BM59" si="202">BG33</f>
        <v>3.7607246886466262E-4</v>
      </c>
      <c r="BH59" s="18">
        <f t="shared" si="202"/>
        <v>4.5154954132954264E-4</v>
      </c>
      <c r="BI59" s="18">
        <f t="shared" si="202"/>
        <v>0</v>
      </c>
      <c r="BJ59" s="18">
        <f t="shared" si="202"/>
        <v>5.8916180599470408E-4</v>
      </c>
      <c r="BK59" s="18">
        <f t="shared" si="202"/>
        <v>3.4816714873265079E-4</v>
      </c>
      <c r="BL59" s="18">
        <f t="shared" si="202"/>
        <v>6.8627098517722374E-5</v>
      </c>
      <c r="BM59" s="18">
        <f t="shared" si="202"/>
        <v>1.2632594349476869E-4</v>
      </c>
    </row>
    <row r="60" spans="1:65">
      <c r="A60" s="20"/>
      <c r="B60" s="20"/>
      <c r="C60" s="20"/>
      <c r="D60" s="20"/>
      <c r="E60" s="23" t="s">
        <v>500</v>
      </c>
      <c r="F60" s="23" t="str">
        <f t="shared" si="200"/>
        <v>High</v>
      </c>
      <c r="G60" s="80">
        <f t="shared" ref="G60:BF60" si="203">G36</f>
        <v>8.7391573821199026E-2</v>
      </c>
      <c r="H60" s="80">
        <f t="shared" si="203"/>
        <v>1.33332368566321E-2</v>
      </c>
      <c r="I60" s="80">
        <f t="shared" si="203"/>
        <v>7.9575755583362717E-2</v>
      </c>
      <c r="J60" s="81">
        <f t="shared" si="203"/>
        <v>2976.6485775393462</v>
      </c>
      <c r="K60" s="81">
        <f t="shared" si="203"/>
        <v>2085.9049756351892</v>
      </c>
      <c r="L60" s="9">
        <f t="shared" si="203"/>
        <v>152.84574015443661</v>
      </c>
      <c r="M60" s="9">
        <f t="shared" si="203"/>
        <v>11.536025651343513</v>
      </c>
      <c r="N60" s="9">
        <f t="shared" si="203"/>
        <v>6.3436890832107578</v>
      </c>
      <c r="O60" s="9">
        <f t="shared" si="203"/>
        <v>1.171252065195344</v>
      </c>
      <c r="P60" s="9">
        <f t="shared" si="203"/>
        <v>0.13710035177070726</v>
      </c>
      <c r="Q60" s="9">
        <f t="shared" si="203"/>
        <v>49.001394413325805</v>
      </c>
      <c r="R60" s="2">
        <f t="shared" si="203"/>
        <v>0</v>
      </c>
      <c r="S60" s="2">
        <f t="shared" si="203"/>
        <v>32.764657918694297</v>
      </c>
      <c r="T60" s="2">
        <f t="shared" si="203"/>
        <v>11.521476576105579</v>
      </c>
      <c r="U60" s="2">
        <f t="shared" si="203"/>
        <v>5.1344993715325602</v>
      </c>
      <c r="V60" s="2">
        <f t="shared" si="203"/>
        <v>0.66200027233493985</v>
      </c>
      <c r="W60" s="2">
        <f t="shared" si="203"/>
        <v>0.18479444712986867</v>
      </c>
      <c r="X60" s="2">
        <f t="shared" si="203"/>
        <v>9.6696794595317395E-2</v>
      </c>
      <c r="Y60" s="2">
        <f t="shared" si="203"/>
        <v>2.6198477131434528</v>
      </c>
      <c r="Z60" s="2">
        <f t="shared" si="203"/>
        <v>1.370847420946588</v>
      </c>
      <c r="AA60" s="2">
        <f t="shared" si="203"/>
        <v>2.8241396235803892E-2</v>
      </c>
      <c r="AB60" s="18">
        <f t="shared" si="203"/>
        <v>0</v>
      </c>
      <c r="AC60" s="18">
        <f t="shared" si="203"/>
        <v>0</v>
      </c>
      <c r="AD60" s="18">
        <f t="shared" si="203"/>
        <v>0</v>
      </c>
      <c r="AE60" s="18">
        <f t="shared" si="203"/>
        <v>1.4581780899187996E-4</v>
      </c>
      <c r="AF60" s="18">
        <f t="shared" si="203"/>
        <v>6.6394632193880811E-5</v>
      </c>
      <c r="AG60" s="18">
        <f t="shared" si="203"/>
        <v>1.0460902915551684E-3</v>
      </c>
      <c r="AH60" s="18">
        <f t="shared" si="203"/>
        <v>6.3194043295320204E-4</v>
      </c>
      <c r="AI60" s="18">
        <f t="shared" si="203"/>
        <v>3.4635220612803603E-3</v>
      </c>
      <c r="AJ60" s="18">
        <f t="shared" si="203"/>
        <v>9.3259720986158326E-4</v>
      </c>
      <c r="AK60" s="18">
        <f t="shared" si="203"/>
        <v>1.095987799035874E-5</v>
      </c>
      <c r="AL60" s="18">
        <f t="shared" si="203"/>
        <v>1.0496392261548729E-5</v>
      </c>
      <c r="AM60" s="18">
        <f t="shared" si="203"/>
        <v>3.8529138036001319E-4</v>
      </c>
      <c r="AN60" s="18">
        <f t="shared" si="203"/>
        <v>4.8649507437054691E-5</v>
      </c>
      <c r="AO60" s="18">
        <f t="shared" si="203"/>
        <v>4.1137004955890503E-6</v>
      </c>
      <c r="AP60" s="18">
        <f t="shared" si="203"/>
        <v>0</v>
      </c>
      <c r="AQ60" s="18">
        <f t="shared" si="203"/>
        <v>5.9397679500551692E-6</v>
      </c>
      <c r="AR60" s="18">
        <f t="shared" si="203"/>
        <v>0</v>
      </c>
      <c r="AS60" s="18">
        <f t="shared" si="203"/>
        <v>1.2763358434411409E-3</v>
      </c>
      <c r="AT60" s="18">
        <f t="shared" si="203"/>
        <v>0</v>
      </c>
      <c r="AU60" s="18">
        <f t="shared" si="203"/>
        <v>3.7560028958255951E-6</v>
      </c>
      <c r="AV60" s="18">
        <f t="shared" si="203"/>
        <v>0</v>
      </c>
      <c r="AW60" s="18">
        <f t="shared" si="203"/>
        <v>3.7560028958255951E-6</v>
      </c>
      <c r="AX60" s="18">
        <f t="shared" si="203"/>
        <v>1.0155711232857685E-5</v>
      </c>
      <c r="AY60" s="18">
        <f t="shared" si="203"/>
        <v>2.0467419594246483E-5</v>
      </c>
      <c r="AZ60" s="18">
        <f t="shared" si="203"/>
        <v>1.3912708544061281E-5</v>
      </c>
      <c r="BA60" s="18">
        <f t="shared" si="203"/>
        <v>0</v>
      </c>
      <c r="BB60" s="18">
        <f t="shared" si="203"/>
        <v>4.1985569046194916E-5</v>
      </c>
      <c r="BC60" s="18">
        <f t="shared" si="203"/>
        <v>0</v>
      </c>
      <c r="BD60" s="18">
        <f t="shared" si="203"/>
        <v>9.1353994175842078E-5</v>
      </c>
      <c r="BE60" s="18">
        <f t="shared" si="203"/>
        <v>3.8280960012707133E-5</v>
      </c>
      <c r="BF60" s="18">
        <f t="shared" si="203"/>
        <v>1.1405337563403577E-4</v>
      </c>
      <c r="BG60" s="18">
        <f t="shared" ref="BG60:BM60" si="204">BG36</f>
        <v>3.4175018333924839E-4</v>
      </c>
      <c r="BH60" s="18">
        <f t="shared" si="204"/>
        <v>0</v>
      </c>
      <c r="BI60" s="18">
        <f t="shared" si="204"/>
        <v>6.9770136797353303E-5</v>
      </c>
      <c r="BJ60" s="18">
        <f t="shared" si="204"/>
        <v>0</v>
      </c>
      <c r="BK60" s="18">
        <f t="shared" si="204"/>
        <v>0</v>
      </c>
      <c r="BL60" s="18">
        <f t="shared" si="204"/>
        <v>0</v>
      </c>
      <c r="BM60" s="18">
        <f t="shared" si="204"/>
        <v>4.7267899108271923E-6</v>
      </c>
    </row>
    <row r="61" spans="1:65">
      <c r="A61" s="20"/>
      <c r="B61" s="20"/>
      <c r="C61" s="20"/>
      <c r="D61" s="20"/>
      <c r="E61" s="23" t="s">
        <v>500</v>
      </c>
      <c r="F61" s="23" t="str">
        <f t="shared" si="200"/>
        <v>Low</v>
      </c>
      <c r="G61" s="80">
        <f t="shared" ref="G61:BF61" si="205">G39</f>
        <v>2.4227557112489119E-2</v>
      </c>
      <c r="H61" s="80">
        <f t="shared" si="205"/>
        <v>1.8253326610939983E-2</v>
      </c>
      <c r="I61" s="80">
        <f t="shared" si="205"/>
        <v>3.0816125370631994E-2</v>
      </c>
      <c r="J61" s="81">
        <f t="shared" si="205"/>
        <v>8860.7167083720069</v>
      </c>
      <c r="K61" s="81">
        <f t="shared" si="205"/>
        <v>12023.454603381826</v>
      </c>
      <c r="L61" s="9">
        <f t="shared" si="205"/>
        <v>191.27400926368085</v>
      </c>
      <c r="M61" s="9">
        <f t="shared" si="205"/>
        <v>4.9476119497811348</v>
      </c>
      <c r="N61" s="9">
        <f t="shared" si="205"/>
        <v>2.4392750517392905</v>
      </c>
      <c r="O61" s="9">
        <f t="shared" si="205"/>
        <v>2.0876729001421208</v>
      </c>
      <c r="P61" s="9">
        <f t="shared" si="205"/>
        <v>0.18050525494180958</v>
      </c>
      <c r="Q61" s="9">
        <f t="shared" si="205"/>
        <v>49.007593670427198</v>
      </c>
      <c r="R61" s="2">
        <f t="shared" si="205"/>
        <v>0</v>
      </c>
      <c r="S61" s="2">
        <f t="shared" si="205"/>
        <v>67.368378569784539</v>
      </c>
      <c r="T61" s="2">
        <f t="shared" si="205"/>
        <v>16.820107071574327</v>
      </c>
      <c r="U61" s="2">
        <f t="shared" si="205"/>
        <v>11.048830238987849</v>
      </c>
      <c r="V61" s="2">
        <f t="shared" si="205"/>
        <v>10.105471332235961</v>
      </c>
      <c r="W61" s="2">
        <f t="shared" si="205"/>
        <v>0.2375816606619921</v>
      </c>
      <c r="X61" s="2">
        <f t="shared" si="205"/>
        <v>0.11605114641177237</v>
      </c>
      <c r="Y61" s="2">
        <f t="shared" si="205"/>
        <v>4.9562344777934673</v>
      </c>
      <c r="Z61" s="2">
        <f t="shared" si="205"/>
        <v>2.4913194705645885</v>
      </c>
      <c r="AA61" s="2">
        <f t="shared" si="205"/>
        <v>8.4064605215013674E-3</v>
      </c>
      <c r="AB61" s="18">
        <f t="shared" si="205"/>
        <v>1.7442561495539585E-4</v>
      </c>
      <c r="AC61" s="18">
        <f t="shared" si="205"/>
        <v>2.0811587029006062E-4</v>
      </c>
      <c r="AD61" s="18">
        <f t="shared" si="205"/>
        <v>1.3042258635858516E-4</v>
      </c>
      <c r="AE61" s="18">
        <f t="shared" si="205"/>
        <v>6.9438028104987774E-5</v>
      </c>
      <c r="AF61" s="18">
        <f t="shared" si="205"/>
        <v>5.1646189348226659E-5</v>
      </c>
      <c r="AG61" s="18">
        <f t="shared" si="205"/>
        <v>2.0917768321068704E-3</v>
      </c>
      <c r="AH61" s="18">
        <f t="shared" si="205"/>
        <v>1.3852459250276365E-3</v>
      </c>
      <c r="AI61" s="18">
        <f t="shared" si="205"/>
        <v>1.9275058309812744E-3</v>
      </c>
      <c r="AJ61" s="18">
        <f t="shared" si="205"/>
        <v>1.5949129959875266E-3</v>
      </c>
      <c r="AK61" s="18">
        <f t="shared" si="205"/>
        <v>6.2891740401033741E-5</v>
      </c>
      <c r="AL61" s="18">
        <f t="shared" si="205"/>
        <v>0</v>
      </c>
      <c r="AM61" s="18">
        <f t="shared" si="205"/>
        <v>0</v>
      </c>
      <c r="AN61" s="18">
        <f t="shared" si="205"/>
        <v>2.6000066820735707E-5</v>
      </c>
      <c r="AO61" s="18">
        <f t="shared" si="205"/>
        <v>1.2992032071749038E-4</v>
      </c>
      <c r="AP61" s="18">
        <f t="shared" si="205"/>
        <v>0</v>
      </c>
      <c r="AQ61" s="18">
        <f t="shared" si="205"/>
        <v>0</v>
      </c>
      <c r="AR61" s="18">
        <f t="shared" si="205"/>
        <v>2.7885990744879259E-5</v>
      </c>
      <c r="AS61" s="18">
        <f t="shared" si="205"/>
        <v>2.6364657430740342E-4</v>
      </c>
      <c r="AT61" s="18">
        <f t="shared" si="205"/>
        <v>0</v>
      </c>
      <c r="AU61" s="18">
        <f t="shared" si="205"/>
        <v>9.4941387262904403E-6</v>
      </c>
      <c r="AV61" s="18">
        <f t="shared" si="205"/>
        <v>0</v>
      </c>
      <c r="AW61" s="18">
        <f t="shared" si="205"/>
        <v>1.3887955701325218E-5</v>
      </c>
      <c r="AX61" s="18">
        <f t="shared" si="205"/>
        <v>2.0348444296675987E-5</v>
      </c>
      <c r="AY61" s="18">
        <f t="shared" si="205"/>
        <v>1.5522690802967704E-5</v>
      </c>
      <c r="AZ61" s="18">
        <f t="shared" si="205"/>
        <v>3.3220369585116604E-5</v>
      </c>
      <c r="BA61" s="18">
        <f t="shared" si="205"/>
        <v>0</v>
      </c>
      <c r="BB61" s="18">
        <f t="shared" si="205"/>
        <v>2.4012822759161887E-5</v>
      </c>
      <c r="BC61" s="18">
        <f t="shared" si="205"/>
        <v>0</v>
      </c>
      <c r="BD61" s="18">
        <f t="shared" si="205"/>
        <v>5.267770781656147E-5</v>
      </c>
      <c r="BE61" s="18">
        <f t="shared" si="205"/>
        <v>4.7790225687351601E-5</v>
      </c>
      <c r="BF61" s="18">
        <f t="shared" si="205"/>
        <v>1.469179570728359E-4</v>
      </c>
      <c r="BG61" s="18">
        <f t="shared" ref="BG61:BM61" si="206">BG39</f>
        <v>1.7617087548034172E-4</v>
      </c>
      <c r="BH61" s="18">
        <f t="shared" si="206"/>
        <v>2.8205656251264528E-4</v>
      </c>
      <c r="BI61" s="18">
        <f t="shared" si="206"/>
        <v>9.5197793045453935E-5</v>
      </c>
      <c r="BJ61" s="18">
        <f t="shared" si="206"/>
        <v>7.3587302207772938E-5</v>
      </c>
      <c r="BK61" s="18">
        <f t="shared" si="206"/>
        <v>0</v>
      </c>
      <c r="BL61" s="18">
        <f t="shared" si="206"/>
        <v>3.5291469276120002E-5</v>
      </c>
      <c r="BM61" s="18">
        <f t="shared" si="206"/>
        <v>0</v>
      </c>
    </row>
    <row r="62" spans="1:65">
      <c r="A62" s="20"/>
      <c r="B62" s="20"/>
      <c r="C62" s="20"/>
      <c r="D62" s="20"/>
      <c r="E62" s="23" t="s">
        <v>506</v>
      </c>
      <c r="F62" s="23" t="str">
        <f t="shared" si="200"/>
        <v>Startup</v>
      </c>
      <c r="G62" s="80">
        <f t="shared" ref="G62:BF62" si="207">G42</f>
        <v>9.2497097318984169E-3</v>
      </c>
      <c r="H62" s="80">
        <f t="shared" si="207"/>
        <v>2.9930957476237752E-2</v>
      </c>
      <c r="I62" s="80">
        <f t="shared" si="207"/>
        <v>1.4474925797529769E-2</v>
      </c>
      <c r="J62" s="81">
        <f t="shared" si="207"/>
        <v>24468.961211288544</v>
      </c>
      <c r="K62" s="81">
        <f t="shared" si="207"/>
        <v>36247.694619683876</v>
      </c>
      <c r="L62" s="9">
        <f t="shared" si="207"/>
        <v>802.94652231880684</v>
      </c>
      <c r="M62" s="9">
        <f t="shared" si="207"/>
        <v>59.466120869065996</v>
      </c>
      <c r="N62" s="9">
        <f t="shared" si="207"/>
        <v>31.40782278829737</v>
      </c>
      <c r="O62" s="9">
        <f t="shared" si="207"/>
        <v>6.0993008759554179</v>
      </c>
      <c r="P62" s="9">
        <f t="shared" si="207"/>
        <v>0.62672434954658207</v>
      </c>
      <c r="Q62" s="9">
        <f t="shared" si="207"/>
        <v>219.16243088675864</v>
      </c>
      <c r="R62" s="2">
        <f t="shared" si="207"/>
        <v>0</v>
      </c>
      <c r="S62" s="2">
        <f t="shared" si="207"/>
        <v>99.301439819004628</v>
      </c>
      <c r="T62" s="2">
        <f t="shared" si="207"/>
        <v>29.234552183748622</v>
      </c>
      <c r="U62" s="2">
        <f t="shared" si="207"/>
        <v>16.803742054098212</v>
      </c>
      <c r="V62" s="2">
        <f t="shared" si="207"/>
        <v>3.2729953066908646</v>
      </c>
      <c r="W62" s="2">
        <f t="shared" si="207"/>
        <v>0.14329542523616903</v>
      </c>
      <c r="X62" s="2">
        <f t="shared" si="207"/>
        <v>0.20025898337495626</v>
      </c>
      <c r="Y62" s="2">
        <f t="shared" si="207"/>
        <v>4.9618503741858673</v>
      </c>
      <c r="Z62" s="2">
        <f t="shared" si="207"/>
        <v>2.9027636719252401</v>
      </c>
      <c r="AA62" s="2">
        <f t="shared" si="207"/>
        <v>0.10857765032773425</v>
      </c>
      <c r="AB62" s="18">
        <f t="shared" si="207"/>
        <v>4.0532554812683563E-3</v>
      </c>
      <c r="AC62" s="18">
        <f t="shared" si="207"/>
        <v>4.6165990021812737E-4</v>
      </c>
      <c r="AD62" s="18">
        <f t="shared" si="207"/>
        <v>0</v>
      </c>
      <c r="AE62" s="18">
        <f t="shared" si="207"/>
        <v>2.434077809024307E-3</v>
      </c>
      <c r="AF62" s="18">
        <f t="shared" si="207"/>
        <v>1.8043101794175401E-4</v>
      </c>
      <c r="AG62" s="18">
        <f t="shared" si="207"/>
        <v>5.1951329454055445E-3</v>
      </c>
      <c r="AH62" s="18">
        <f t="shared" si="207"/>
        <v>8.9181860476887712E-3</v>
      </c>
      <c r="AI62" s="18">
        <f t="shared" si="207"/>
        <v>4.6402364300834843E-3</v>
      </c>
      <c r="AJ62" s="18">
        <f t="shared" si="207"/>
        <v>4.0186432293300087E-3</v>
      </c>
      <c r="AK62" s="18">
        <f t="shared" si="207"/>
        <v>7.6574491863461313E-5</v>
      </c>
      <c r="AL62" s="18">
        <f t="shared" si="207"/>
        <v>0</v>
      </c>
      <c r="AM62" s="18">
        <f t="shared" si="207"/>
        <v>1.8687026788443174E-3</v>
      </c>
      <c r="AN62" s="18">
        <f t="shared" si="207"/>
        <v>1.5564695369769263E-4</v>
      </c>
      <c r="AO62" s="18">
        <f t="shared" si="207"/>
        <v>4.0808155060610661E-3</v>
      </c>
      <c r="AP62" s="18">
        <f t="shared" si="207"/>
        <v>1.9880894669057469E-5</v>
      </c>
      <c r="AQ62" s="18">
        <f t="shared" si="207"/>
        <v>3.3778215628789328E-4</v>
      </c>
      <c r="AR62" s="18">
        <f t="shared" si="207"/>
        <v>2.5442418813395471E-5</v>
      </c>
      <c r="AS62" s="18">
        <f t="shared" si="207"/>
        <v>1.1552417382309716E-3</v>
      </c>
      <c r="AT62" s="18">
        <f t="shared" si="207"/>
        <v>1.1918974692848434E-5</v>
      </c>
      <c r="AU62" s="18">
        <f t="shared" si="207"/>
        <v>6.2711801169239596E-5</v>
      </c>
      <c r="AV62" s="18">
        <f t="shared" si="207"/>
        <v>2.3812161650363185E-5</v>
      </c>
      <c r="AW62" s="18">
        <f t="shared" si="207"/>
        <v>3.9143233434953436E-5</v>
      </c>
      <c r="AX62" s="18">
        <f t="shared" si="207"/>
        <v>5.7673968511075329E-5</v>
      </c>
      <c r="AY62" s="18">
        <f t="shared" si="207"/>
        <v>2.5903610361366249E-5</v>
      </c>
      <c r="AZ62" s="18">
        <f t="shared" si="207"/>
        <v>0</v>
      </c>
      <c r="BA62" s="18">
        <f t="shared" si="207"/>
        <v>4.1918903426191184E-5</v>
      </c>
      <c r="BB62" s="18">
        <f t="shared" si="207"/>
        <v>9.4415125804260289E-5</v>
      </c>
      <c r="BC62" s="18">
        <f t="shared" si="207"/>
        <v>1.0863626343011161E-5</v>
      </c>
      <c r="BD62" s="18">
        <f t="shared" si="207"/>
        <v>1.2504824525226148E-4</v>
      </c>
      <c r="BE62" s="18">
        <f t="shared" si="207"/>
        <v>1.3460956751598719E-4</v>
      </c>
      <c r="BF62" s="18">
        <f t="shared" si="207"/>
        <v>3.6136797771411846E-4</v>
      </c>
      <c r="BG62" s="18">
        <f t="shared" ref="BG62:BM62" si="208">BG42</f>
        <v>6.2805221253857076E-4</v>
      </c>
      <c r="BH62" s="18">
        <f t="shared" si="208"/>
        <v>1.1863604836897632E-3</v>
      </c>
      <c r="BI62" s="18">
        <f t="shared" si="208"/>
        <v>5.3847394271749731E-4</v>
      </c>
      <c r="BJ62" s="18">
        <f t="shared" si="208"/>
        <v>0</v>
      </c>
      <c r="BK62" s="18">
        <f t="shared" si="208"/>
        <v>1.6829334635179173E-5</v>
      </c>
      <c r="BL62" s="18">
        <f t="shared" si="208"/>
        <v>6.0927070497669281E-5</v>
      </c>
      <c r="BM62" s="18">
        <f t="shared" si="208"/>
        <v>1.2820727659870458E-4</v>
      </c>
    </row>
    <row r="63" spans="1:65">
      <c r="A63" s="20"/>
      <c r="B63" s="20"/>
      <c r="C63" s="20"/>
      <c r="D63" s="20"/>
      <c r="E63" s="23" t="s">
        <v>506</v>
      </c>
      <c r="F63" s="23" t="str">
        <f t="shared" si="200"/>
        <v>High</v>
      </c>
      <c r="G63" s="80">
        <f t="shared" ref="G63:BF63" si="209">G45</f>
        <v>1.0682792155256117E-2</v>
      </c>
      <c r="H63" s="80">
        <f t="shared" si="209"/>
        <v>3.0375373769382019E-3</v>
      </c>
      <c r="I63" s="80">
        <f t="shared" si="209"/>
        <v>7.645316799766314E-3</v>
      </c>
      <c r="J63" s="81">
        <f t="shared" si="209"/>
        <v>6.7411095432965112E-2</v>
      </c>
      <c r="K63" s="81">
        <f t="shared" si="209"/>
        <v>5.6738518178693728E-2</v>
      </c>
      <c r="L63" s="9">
        <f t="shared" si="209"/>
        <v>7.9921513465372282E-2</v>
      </c>
      <c r="M63" s="9">
        <f t="shared" si="209"/>
        <v>0.16563298455222589</v>
      </c>
      <c r="N63" s="9">
        <f t="shared" si="209"/>
        <v>0.20006880428604681</v>
      </c>
      <c r="O63" s="9">
        <f t="shared" si="209"/>
        <v>2.7000304432869892E-2</v>
      </c>
      <c r="P63" s="9">
        <f t="shared" si="209"/>
        <v>4.4536473541465893E-2</v>
      </c>
      <c r="Q63" s="9">
        <f t="shared" si="209"/>
        <v>6.7488499227520912E-2</v>
      </c>
      <c r="R63" s="2">
        <f t="shared" si="209"/>
        <v>0</v>
      </c>
      <c r="S63" s="2">
        <f t="shared" si="209"/>
        <v>1.2449802120608281E-2</v>
      </c>
      <c r="T63" s="2">
        <f t="shared" si="209"/>
        <v>0.23247182258370769</v>
      </c>
      <c r="U63" s="2">
        <f t="shared" si="209"/>
        <v>0.26665717931603344</v>
      </c>
      <c r="V63" s="2">
        <f t="shared" si="209"/>
        <v>9.444577864922564E-2</v>
      </c>
      <c r="W63" s="2">
        <f t="shared" si="209"/>
        <v>0.11194085761676309</v>
      </c>
      <c r="X63" s="2">
        <f t="shared" si="209"/>
        <v>0.2348980654612515</v>
      </c>
      <c r="Y63" s="2">
        <f t="shared" si="209"/>
        <v>5.943102114566455E-2</v>
      </c>
      <c r="Z63" s="2">
        <f t="shared" si="209"/>
        <v>0.63147807809322398</v>
      </c>
      <c r="AA63" s="2">
        <f t="shared" si="209"/>
        <v>0.5244646870624704</v>
      </c>
      <c r="AB63" s="18">
        <f t="shared" si="209"/>
        <v>2</v>
      </c>
      <c r="AC63" s="18" t="str">
        <f t="shared" si="209"/>
        <v/>
      </c>
      <c r="AD63" s="18" t="str">
        <f t="shared" si="209"/>
        <v/>
      </c>
      <c r="AE63" s="18">
        <f t="shared" si="209"/>
        <v>2</v>
      </c>
      <c r="AF63" s="18" t="str">
        <f t="shared" si="209"/>
        <v/>
      </c>
      <c r="AG63" s="18">
        <f t="shared" si="209"/>
        <v>4.8902045517823997E-2</v>
      </c>
      <c r="AH63" s="18">
        <f t="shared" si="209"/>
        <v>0.10426513908968398</v>
      </c>
      <c r="AI63" s="18">
        <f t="shared" si="209"/>
        <v>0.26270454557772005</v>
      </c>
      <c r="AJ63" s="18">
        <f t="shared" si="209"/>
        <v>2</v>
      </c>
      <c r="AK63" s="18" t="str">
        <f t="shared" si="209"/>
        <v/>
      </c>
      <c r="AL63" s="18" t="str">
        <f t="shared" si="209"/>
        <v/>
      </c>
      <c r="AM63" s="18">
        <f t="shared" si="209"/>
        <v>0.78078180080865267</v>
      </c>
      <c r="AN63" s="18">
        <f t="shared" si="209"/>
        <v>2</v>
      </c>
      <c r="AO63" s="18">
        <f t="shared" si="209"/>
        <v>2</v>
      </c>
      <c r="AP63" s="18" t="str">
        <f t="shared" si="209"/>
        <v/>
      </c>
      <c r="AQ63" s="18" t="str">
        <f t="shared" si="209"/>
        <v/>
      </c>
      <c r="AR63" s="18">
        <f t="shared" si="209"/>
        <v>2</v>
      </c>
      <c r="AS63" s="18">
        <f t="shared" si="209"/>
        <v>0.31668087310489124</v>
      </c>
      <c r="AT63" s="18" t="str">
        <f t="shared" si="209"/>
        <v/>
      </c>
      <c r="AU63" s="18" t="str">
        <f t="shared" si="209"/>
        <v/>
      </c>
      <c r="AV63" s="18" t="str">
        <f t="shared" si="209"/>
        <v/>
      </c>
      <c r="AW63" s="18">
        <f t="shared" si="209"/>
        <v>2</v>
      </c>
      <c r="AX63" s="18">
        <f t="shared" si="209"/>
        <v>1.2056612746733362</v>
      </c>
      <c r="AY63" s="18">
        <f t="shared" si="209"/>
        <v>0.36517511683473891</v>
      </c>
      <c r="AZ63" s="18" t="str">
        <f t="shared" si="209"/>
        <v/>
      </c>
      <c r="BA63" s="18">
        <f t="shared" si="209"/>
        <v>2</v>
      </c>
      <c r="BB63" s="18" t="str">
        <f t="shared" si="209"/>
        <v/>
      </c>
      <c r="BC63" s="18" t="str">
        <f t="shared" si="209"/>
        <v/>
      </c>
      <c r="BD63" s="18" t="str">
        <f t="shared" si="209"/>
        <v/>
      </c>
      <c r="BE63" s="18" t="str">
        <f t="shared" si="209"/>
        <v/>
      </c>
      <c r="BF63" s="18">
        <f t="shared" si="209"/>
        <v>2</v>
      </c>
      <c r="BG63" s="18" t="str">
        <f t="shared" ref="BG63:BM63" si="210">BG45</f>
        <v/>
      </c>
      <c r="BH63" s="18">
        <f t="shared" si="210"/>
        <v>2</v>
      </c>
      <c r="BI63" s="18">
        <f t="shared" si="210"/>
        <v>2</v>
      </c>
      <c r="BJ63" s="18">
        <f t="shared" si="210"/>
        <v>2</v>
      </c>
      <c r="BK63" s="18">
        <f t="shared" si="210"/>
        <v>2</v>
      </c>
      <c r="BL63" s="18" t="str">
        <f t="shared" si="210"/>
        <v/>
      </c>
      <c r="BM63" s="18">
        <f t="shared" si="210"/>
        <v>0.58894180910069827</v>
      </c>
    </row>
    <row r="64" spans="1:65">
      <c r="A64" s="20"/>
      <c r="B64" s="20"/>
      <c r="C64" s="20"/>
      <c r="D64" s="20"/>
      <c r="E64" s="23" t="s">
        <v>506</v>
      </c>
      <c r="F64" s="23" t="str">
        <f t="shared" si="200"/>
        <v>Low</v>
      </c>
      <c r="G64" s="80">
        <f t="shared" ref="G64:BF64" si="211">G48</f>
        <v>7.840110675689814E-3</v>
      </c>
      <c r="H64" s="80">
        <f t="shared" si="211"/>
        <v>5.3829509620165143E-3</v>
      </c>
      <c r="I64" s="80">
        <f t="shared" si="211"/>
        <v>6.382765517516085E-3</v>
      </c>
      <c r="J64" s="81">
        <f t="shared" si="211"/>
        <v>1617.3770420156065</v>
      </c>
      <c r="K64" s="81">
        <f t="shared" si="211"/>
        <v>2139.4466583421645</v>
      </c>
      <c r="L64" s="9">
        <f t="shared" si="211"/>
        <v>57.609362244497376</v>
      </c>
      <c r="M64" s="9">
        <f t="shared" si="211"/>
        <v>3.6948747574832779</v>
      </c>
      <c r="N64" s="9">
        <f t="shared" si="211"/>
        <v>1.8952783888302001</v>
      </c>
      <c r="O64" s="9">
        <f t="shared" si="211"/>
        <v>0.56561206524113228</v>
      </c>
      <c r="P64" s="9">
        <f t="shared" si="211"/>
        <v>6.6177198717367797E-2</v>
      </c>
      <c r="Q64" s="9">
        <f t="shared" si="211"/>
        <v>19.058748651991596</v>
      </c>
      <c r="R64" s="2">
        <f t="shared" si="211"/>
        <v>0</v>
      </c>
      <c r="S64" s="2">
        <f t="shared" si="211"/>
        <v>12.324755061322273</v>
      </c>
      <c r="T64" s="2">
        <f t="shared" si="211"/>
        <v>4.823642848462848</v>
      </c>
      <c r="U64" s="2">
        <f t="shared" si="211"/>
        <v>1.7544651155229556</v>
      </c>
      <c r="V64" s="2">
        <f t="shared" si="211"/>
        <v>0.34453045378238423</v>
      </c>
      <c r="W64" s="2">
        <f t="shared" si="211"/>
        <v>0.15398082847360767</v>
      </c>
      <c r="X64" s="2">
        <f t="shared" si="211"/>
        <v>1.8998835340095076E-2</v>
      </c>
      <c r="Y64" s="2">
        <f t="shared" si="211"/>
        <v>0.10975001380015091</v>
      </c>
      <c r="Z64" s="2">
        <f t="shared" si="211"/>
        <v>7.1805323122001344E-2</v>
      </c>
      <c r="AA64" s="2">
        <f t="shared" si="211"/>
        <v>1.2150052750345801E-2</v>
      </c>
      <c r="AB64" s="18">
        <f t="shared" si="211"/>
        <v>0</v>
      </c>
      <c r="AC64" s="18">
        <f t="shared" si="211"/>
        <v>2.7928324085397589E-4</v>
      </c>
      <c r="AD64" s="18">
        <f t="shared" si="211"/>
        <v>0</v>
      </c>
      <c r="AE64" s="18">
        <f t="shared" si="211"/>
        <v>1.0115157108339116E-3</v>
      </c>
      <c r="AF64" s="18">
        <f t="shared" si="211"/>
        <v>4.3540265204798077E-5</v>
      </c>
      <c r="AG64" s="18">
        <f t="shared" si="211"/>
        <v>3.7855781381960211E-4</v>
      </c>
      <c r="AH64" s="18">
        <f t="shared" si="211"/>
        <v>1.6634303859189793E-3</v>
      </c>
      <c r="AI64" s="18">
        <f t="shared" si="211"/>
        <v>1.4526255581749185E-3</v>
      </c>
      <c r="AJ64" s="18">
        <f t="shared" si="211"/>
        <v>0</v>
      </c>
      <c r="AK64" s="18">
        <f t="shared" si="211"/>
        <v>0</v>
      </c>
      <c r="AL64" s="18">
        <f t="shared" si="211"/>
        <v>6.2718825555054021E-6</v>
      </c>
      <c r="AM64" s="18">
        <f t="shared" si="211"/>
        <v>5.2328398312248624E-4</v>
      </c>
      <c r="AN64" s="18">
        <f t="shared" si="211"/>
        <v>0</v>
      </c>
      <c r="AO64" s="18">
        <f t="shared" si="211"/>
        <v>0</v>
      </c>
      <c r="AP64" s="18">
        <f t="shared" si="211"/>
        <v>0</v>
      </c>
      <c r="AQ64" s="18">
        <f t="shared" si="211"/>
        <v>0</v>
      </c>
      <c r="AR64" s="18">
        <f t="shared" si="211"/>
        <v>5.408459377285979E-6</v>
      </c>
      <c r="AS64" s="18">
        <f t="shared" si="211"/>
        <v>2.6582279434867292E-4</v>
      </c>
      <c r="AT64" s="18">
        <f t="shared" si="211"/>
        <v>0</v>
      </c>
      <c r="AU64" s="18">
        <f t="shared" si="211"/>
        <v>4.0914849855573576E-6</v>
      </c>
      <c r="AV64" s="18">
        <f t="shared" si="211"/>
        <v>0</v>
      </c>
      <c r="AW64" s="18">
        <f t="shared" si="211"/>
        <v>1.2065385088135969E-5</v>
      </c>
      <c r="AX64" s="18">
        <f t="shared" si="211"/>
        <v>1.1931908386007697E-5</v>
      </c>
      <c r="AY64" s="18">
        <f t="shared" si="211"/>
        <v>2.1267224865921004E-5</v>
      </c>
      <c r="AZ64" s="18">
        <f t="shared" si="211"/>
        <v>0</v>
      </c>
      <c r="BA64" s="18">
        <f t="shared" si="211"/>
        <v>3.9740236184914006E-6</v>
      </c>
      <c r="BB64" s="18">
        <f t="shared" si="211"/>
        <v>2.090676395232595E-6</v>
      </c>
      <c r="BC64" s="18">
        <f t="shared" si="211"/>
        <v>1.0643443466638665E-5</v>
      </c>
      <c r="BD64" s="18">
        <f t="shared" si="211"/>
        <v>0</v>
      </c>
      <c r="BE64" s="18">
        <f t="shared" si="211"/>
        <v>4.428884414336701E-5</v>
      </c>
      <c r="BF64" s="18">
        <f t="shared" si="211"/>
        <v>4.7060579617413256E-5</v>
      </c>
      <c r="BG64" s="18">
        <f t="shared" ref="BG64:BM64" si="212">BG48</f>
        <v>3.7446828199046941E-5</v>
      </c>
      <c r="BH64" s="18">
        <f t="shared" si="212"/>
        <v>4.4294772234947036E-5</v>
      </c>
      <c r="BI64" s="18">
        <f t="shared" si="212"/>
        <v>1.6675828912284953E-4</v>
      </c>
      <c r="BJ64" s="18">
        <f t="shared" si="212"/>
        <v>0</v>
      </c>
      <c r="BK64" s="18">
        <f t="shared" si="212"/>
        <v>1.9534732667205297E-6</v>
      </c>
      <c r="BL64" s="18">
        <f t="shared" si="212"/>
        <v>4.3714142809408803E-6</v>
      </c>
      <c r="BM64" s="18">
        <f t="shared" si="212"/>
        <v>0</v>
      </c>
    </row>
    <row r="83" spans="1:34">
      <c r="A83" s="4"/>
      <c r="B83" s="3"/>
      <c r="C83" s="3"/>
      <c r="D83" s="3"/>
      <c r="E83" s="23"/>
      <c r="F83" s="23"/>
      <c r="G83" s="9"/>
      <c r="H83" s="9"/>
      <c r="I83" s="9"/>
      <c r="J83" s="9"/>
      <c r="K83" s="9"/>
      <c r="L83" s="9"/>
      <c r="M83" s="9"/>
      <c r="N83" s="9"/>
      <c r="O83" s="9"/>
      <c r="P83" s="9"/>
      <c r="Q83" s="9"/>
      <c r="S83" s="6"/>
      <c r="T83" s="6"/>
      <c r="U83" s="6"/>
      <c r="V83" s="24"/>
      <c r="W83" s="25"/>
      <c r="X83" s="25"/>
      <c r="AD83" s="23"/>
      <c r="AE83" s="23"/>
      <c r="AF83" s="23"/>
      <c r="AG83" s="23"/>
      <c r="AH83" s="23"/>
    </row>
    <row r="84" spans="1:34">
      <c r="A84" s="4"/>
      <c r="B84" s="3"/>
      <c r="C84" s="3"/>
      <c r="D84" s="3"/>
      <c r="E84" s="23"/>
      <c r="F84" s="23"/>
      <c r="G84" s="9"/>
      <c r="H84" s="9"/>
      <c r="I84" s="9"/>
      <c r="J84" s="9"/>
      <c r="K84" s="9"/>
      <c r="L84" s="9"/>
      <c r="M84" s="9"/>
      <c r="N84" s="9"/>
      <c r="O84" s="9"/>
      <c r="P84" s="9"/>
      <c r="Q84" s="9"/>
      <c r="S84" s="6"/>
      <c r="T84" s="6"/>
      <c r="U84" s="6"/>
      <c r="V84" s="24"/>
      <c r="W84" s="25"/>
      <c r="X84" s="25"/>
      <c r="AD84" s="23"/>
      <c r="AE84" s="23"/>
      <c r="AF84" s="23"/>
      <c r="AG84" s="23"/>
      <c r="AH84" s="23"/>
    </row>
    <row r="85" spans="1:34">
      <c r="A85" s="4"/>
      <c r="B85" s="3"/>
      <c r="C85" s="3"/>
      <c r="D85" s="3"/>
      <c r="E85" s="23"/>
      <c r="F85" s="23"/>
      <c r="G85" s="9"/>
      <c r="H85" s="9"/>
      <c r="I85" s="9"/>
      <c r="J85" s="9"/>
      <c r="K85" s="9"/>
      <c r="L85" s="9"/>
      <c r="M85" s="9"/>
      <c r="N85" s="9"/>
      <c r="O85" s="9"/>
      <c r="P85" s="9"/>
      <c r="Q85" s="9"/>
      <c r="S85" s="6"/>
      <c r="T85" s="6"/>
      <c r="U85" s="6"/>
      <c r="V85" s="24"/>
      <c r="W85" s="25"/>
      <c r="X85" s="25"/>
      <c r="AD85" s="23"/>
      <c r="AE85" s="23"/>
      <c r="AF85" s="23"/>
      <c r="AG85" s="23"/>
      <c r="AH85" s="23"/>
    </row>
    <row r="86" spans="1:34">
      <c r="A86" s="4"/>
      <c r="B86" s="3"/>
      <c r="C86" s="3"/>
      <c r="D86" s="3"/>
      <c r="E86" s="23"/>
      <c r="F86" s="23"/>
      <c r="G86" s="9"/>
      <c r="H86" s="9"/>
      <c r="I86" s="9"/>
      <c r="J86" s="9"/>
      <c r="K86" s="9"/>
      <c r="L86" s="9"/>
      <c r="M86" s="9"/>
      <c r="N86" s="9"/>
      <c r="O86" s="9"/>
      <c r="P86" s="9"/>
      <c r="Q86" s="9"/>
      <c r="S86" s="6"/>
      <c r="T86" s="6"/>
      <c r="U86" s="6"/>
      <c r="V86" s="24"/>
      <c r="W86" s="25"/>
      <c r="X86" s="25"/>
      <c r="AD86" s="23"/>
      <c r="AE86" s="23"/>
      <c r="AF86" s="23"/>
      <c r="AG86" s="23"/>
      <c r="AH86" s="23"/>
    </row>
    <row r="87" spans="1:34">
      <c r="A87" s="4"/>
      <c r="B87" s="3"/>
      <c r="C87" s="3"/>
      <c r="D87" s="3"/>
      <c r="E87" s="23"/>
      <c r="F87" s="23"/>
      <c r="G87" s="9"/>
      <c r="H87" s="9"/>
      <c r="I87" s="9"/>
      <c r="J87" s="9"/>
      <c r="K87" s="9"/>
      <c r="L87" s="9"/>
      <c r="M87" s="9"/>
      <c r="N87" s="9"/>
      <c r="O87" s="9"/>
      <c r="P87" s="9"/>
      <c r="Q87" s="9"/>
      <c r="S87" s="6"/>
      <c r="T87" s="6"/>
      <c r="U87" s="6"/>
      <c r="V87" s="24"/>
      <c r="W87" s="25"/>
      <c r="X87" s="25"/>
      <c r="AD87" s="23"/>
      <c r="AE87" s="23"/>
      <c r="AF87" s="23"/>
      <c r="AG87" s="23"/>
      <c r="AH87" s="23"/>
    </row>
    <row r="88" spans="1:34">
      <c r="A88" s="4"/>
      <c r="B88" s="3"/>
      <c r="C88" s="3"/>
      <c r="D88" s="3"/>
      <c r="E88" s="23"/>
      <c r="F88" s="23"/>
      <c r="G88" s="9"/>
      <c r="H88" s="9"/>
      <c r="I88" s="9"/>
      <c r="J88" s="9"/>
      <c r="K88" s="9"/>
      <c r="L88" s="9"/>
      <c r="M88" s="9"/>
      <c r="N88" s="9"/>
      <c r="O88" s="9"/>
      <c r="P88" s="9"/>
      <c r="Q88" s="9"/>
      <c r="S88" s="6"/>
      <c r="T88" s="6"/>
      <c r="U88" s="6"/>
      <c r="V88" s="24"/>
      <c r="W88" s="25"/>
      <c r="X88" s="25"/>
      <c r="AD88" s="23"/>
      <c r="AE88" s="23"/>
      <c r="AF88" s="23"/>
      <c r="AG88" s="23"/>
      <c r="AH88" s="23"/>
    </row>
    <row r="89" spans="1:34">
      <c r="A89" s="4"/>
      <c r="B89" s="3"/>
      <c r="C89" s="3"/>
      <c r="D89" s="3"/>
      <c r="E89" s="23"/>
      <c r="F89" s="23"/>
      <c r="G89" s="9"/>
      <c r="H89" s="9"/>
      <c r="I89" s="9"/>
      <c r="J89" s="9"/>
      <c r="K89" s="9"/>
      <c r="L89" s="9"/>
      <c r="M89" s="9"/>
      <c r="N89" s="9"/>
      <c r="O89" s="9"/>
      <c r="P89" s="9"/>
      <c r="Q89" s="9"/>
      <c r="S89" s="6"/>
      <c r="T89" s="6"/>
      <c r="U89" s="6"/>
      <c r="V89" s="24"/>
      <c r="W89" s="25"/>
      <c r="X89" s="25"/>
      <c r="AD89" s="23"/>
      <c r="AE89" s="23"/>
      <c r="AF89" s="23"/>
      <c r="AG89" s="23"/>
      <c r="AH89" s="23"/>
    </row>
    <row r="90" spans="1:34">
      <c r="A90" s="4"/>
      <c r="B90" s="3"/>
      <c r="C90" s="3"/>
      <c r="D90" s="3"/>
      <c r="E90" s="23"/>
      <c r="F90" s="23"/>
      <c r="G90" s="9"/>
      <c r="H90" s="9"/>
      <c r="I90" s="9"/>
      <c r="J90" s="9"/>
      <c r="K90" s="9"/>
      <c r="L90" s="9"/>
      <c r="M90" s="9"/>
      <c r="N90" s="9"/>
      <c r="O90" s="9"/>
      <c r="P90" s="9"/>
      <c r="Q90" s="9"/>
      <c r="S90" s="6"/>
      <c r="T90" s="6"/>
      <c r="U90" s="6"/>
      <c r="V90" s="24"/>
      <c r="W90" s="25"/>
      <c r="X90" s="25"/>
      <c r="AD90" s="23"/>
      <c r="AE90" s="23"/>
      <c r="AF90" s="23"/>
      <c r="AG90" s="23"/>
      <c r="AH90" s="23"/>
    </row>
    <row r="91" spans="1:34">
      <c r="A91" s="4"/>
      <c r="B91" s="3"/>
      <c r="C91" s="3"/>
      <c r="D91" s="3"/>
      <c r="E91" s="23"/>
      <c r="F91" s="23"/>
      <c r="G91" s="9"/>
      <c r="H91" s="9"/>
      <c r="I91" s="9"/>
      <c r="J91" s="9"/>
      <c r="K91" s="9"/>
      <c r="L91" s="9"/>
      <c r="M91" s="9"/>
      <c r="N91" s="9"/>
      <c r="O91" s="9"/>
      <c r="P91" s="9"/>
      <c r="Q91" s="9"/>
      <c r="S91" s="6"/>
      <c r="T91" s="6"/>
      <c r="U91" s="6"/>
      <c r="V91" s="24"/>
      <c r="W91" s="25"/>
      <c r="X91" s="25"/>
      <c r="AD91" s="23"/>
      <c r="AE91" s="23"/>
      <c r="AF91" s="23"/>
      <c r="AG91" s="23"/>
      <c r="AH91" s="23"/>
    </row>
    <row r="92" spans="1:34">
      <c r="A92" s="4"/>
      <c r="B92" s="3"/>
      <c r="C92" s="3"/>
      <c r="D92" s="3"/>
      <c r="E92" s="23"/>
      <c r="F92" s="23"/>
      <c r="G92" s="9"/>
      <c r="H92" s="9"/>
      <c r="I92" s="9"/>
      <c r="J92" s="9"/>
      <c r="K92" s="9"/>
      <c r="L92" s="9"/>
      <c r="M92" s="9"/>
      <c r="N92" s="9"/>
      <c r="O92" s="9"/>
      <c r="P92" s="9"/>
      <c r="Q92" s="9"/>
      <c r="S92" s="6"/>
      <c r="T92" s="6"/>
      <c r="U92" s="6"/>
      <c r="V92" s="24"/>
      <c r="W92" s="25"/>
      <c r="X92" s="25"/>
      <c r="AD92" s="23"/>
      <c r="AE92" s="23"/>
      <c r="AF92" s="23"/>
      <c r="AG92" s="23"/>
      <c r="AH92" s="23"/>
    </row>
    <row r="93" spans="1:34">
      <c r="E93" s="23"/>
      <c r="F93" s="23"/>
    </row>
    <row r="94" spans="1:34">
      <c r="E94" s="23"/>
    </row>
    <row r="95" spans="1:34">
      <c r="E95" s="23"/>
      <c r="F95" s="23"/>
    </row>
    <row r="96" spans="1:34">
      <c r="E96" s="23"/>
      <c r="F96" s="23"/>
    </row>
    <row r="97" spans="5:6">
      <c r="E97" s="23"/>
      <c r="F97" s="23"/>
    </row>
    <row r="98" spans="5:6">
      <c r="E98" s="23"/>
      <c r="F98" s="23"/>
    </row>
    <row r="99" spans="5:6">
      <c r="E99" s="23"/>
      <c r="F99" s="23"/>
    </row>
    <row r="100" spans="5:6">
      <c r="E100" s="23"/>
      <c r="F100" s="23"/>
    </row>
    <row r="101" spans="5:6">
      <c r="E101" s="23"/>
      <c r="F101" s="23"/>
    </row>
    <row r="102" spans="5:6">
      <c r="E102" s="23"/>
      <c r="F102" s="23"/>
    </row>
    <row r="103" spans="5:6">
      <c r="E103" s="23"/>
      <c r="F103" s="23"/>
    </row>
    <row r="104" spans="5:6">
      <c r="E104" s="23"/>
      <c r="F104" s="23"/>
    </row>
    <row r="105" spans="5:6">
      <c r="E105" s="23"/>
      <c r="F105" s="23"/>
    </row>
    <row r="106" spans="5:6">
      <c r="E106" s="23"/>
      <c r="F106" s="23"/>
    </row>
    <row r="107" spans="5:6">
      <c r="F107" s="23"/>
    </row>
    <row r="108" spans="5:6">
      <c r="F108" s="23"/>
    </row>
    <row r="109" spans="5:6">
      <c r="F109" s="23"/>
    </row>
    <row r="110" spans="5:6">
      <c r="F110" s="23"/>
    </row>
    <row r="111" spans="5:6">
      <c r="F111" s="23"/>
    </row>
    <row r="112" spans="5:6">
      <c r="F112" s="23"/>
    </row>
    <row r="113" spans="6:6">
      <c r="F113" s="23"/>
    </row>
  </sheetData>
  <conditionalFormatting sqref="S92:U92">
    <cfRule type="colorScale" priority="457">
      <colorScale>
        <cfvo type="num" val="0"/>
        <cfvo type="num" val="1"/>
        <color theme="5" tint="0.79998168889431442"/>
        <color theme="5"/>
      </colorScale>
    </cfRule>
  </conditionalFormatting>
  <conditionalFormatting sqref="C92:D92">
    <cfRule type="colorScale" priority="393">
      <colorScale>
        <cfvo type="num" val="0"/>
        <cfvo type="num" val="1"/>
        <color theme="5" tint="0.79998168889431442"/>
        <color theme="5"/>
      </colorScale>
    </cfRule>
  </conditionalFormatting>
  <conditionalFormatting sqref="G34:BM34">
    <cfRule type="colorScale" priority="899">
      <colorScale>
        <cfvo type="percent" val="0"/>
        <cfvo type="percent" val="100"/>
        <color rgb="FFFCFCFF"/>
        <color rgb="FF63BE7B"/>
      </colorScale>
    </cfRule>
  </conditionalFormatting>
  <conditionalFormatting sqref="G37:AA37">
    <cfRule type="colorScale" priority="14">
      <colorScale>
        <cfvo type="percent" val="0"/>
        <cfvo type="percent" val="100"/>
        <color rgb="FFFCFCFF"/>
        <color rgb="FF63BE7B"/>
      </colorScale>
    </cfRule>
  </conditionalFormatting>
  <conditionalFormatting sqref="G40:AA40">
    <cfRule type="colorScale" priority="13">
      <colorScale>
        <cfvo type="percent" val="0"/>
        <cfvo type="percent" val="100"/>
        <color rgb="FFFCFCFF"/>
        <color rgb="FF63BE7B"/>
      </colorScale>
    </cfRule>
  </conditionalFormatting>
  <conditionalFormatting sqref="G43:AA43">
    <cfRule type="colorScale" priority="12">
      <colorScale>
        <cfvo type="percent" val="0"/>
        <cfvo type="percent" val="100"/>
        <color rgb="FFFCFCFF"/>
        <color rgb="FF63BE7B"/>
      </colorScale>
    </cfRule>
  </conditionalFormatting>
  <conditionalFormatting sqref="G46:AA46">
    <cfRule type="colorScale" priority="11">
      <colorScale>
        <cfvo type="percent" val="0"/>
        <cfvo type="percent" val="100"/>
        <color rgb="FFFCFCFF"/>
        <color rgb="FF63BE7B"/>
      </colorScale>
    </cfRule>
  </conditionalFormatting>
  <conditionalFormatting sqref="G49:AA49">
    <cfRule type="colorScale" priority="10">
      <colorScale>
        <cfvo type="percent" val="0"/>
        <cfvo type="percent" val="100"/>
        <color rgb="FFFCFCFF"/>
        <color rgb="FF63BE7B"/>
      </colorScale>
    </cfRule>
  </conditionalFormatting>
  <conditionalFormatting sqref="AB37:BM37">
    <cfRule type="colorScale" priority="9">
      <colorScale>
        <cfvo type="percent" val="0"/>
        <cfvo type="percent" val="100"/>
        <color rgb="FFFCFCFF"/>
        <color rgb="FF63BE7B"/>
      </colorScale>
    </cfRule>
  </conditionalFormatting>
  <conditionalFormatting sqref="AB40:BM40">
    <cfRule type="colorScale" priority="8">
      <colorScale>
        <cfvo type="percent" val="0"/>
        <cfvo type="percent" val="100"/>
        <color rgb="FFFCFCFF"/>
        <color rgb="FF63BE7B"/>
      </colorScale>
    </cfRule>
  </conditionalFormatting>
  <conditionalFormatting sqref="AB43:BM43">
    <cfRule type="colorScale" priority="7">
      <colorScale>
        <cfvo type="percent" val="0"/>
        <cfvo type="percent" val="100"/>
        <color rgb="FFFCFCFF"/>
        <color rgb="FF63BE7B"/>
      </colorScale>
    </cfRule>
  </conditionalFormatting>
  <conditionalFormatting sqref="AB49:BM49">
    <cfRule type="colorScale" priority="6">
      <colorScale>
        <cfvo type="percent" val="0"/>
        <cfvo type="percent" val="100"/>
        <color rgb="FFFCFCFF"/>
        <color rgb="FF63BE7B"/>
      </colorScale>
    </cfRule>
  </conditionalFormatting>
  <conditionalFormatting sqref="AG46:BM46 AE46">
    <cfRule type="colorScale" priority="5">
      <colorScale>
        <cfvo type="percent" val="0"/>
        <cfvo type="percent" val="100"/>
        <color rgb="FFFCFCFF"/>
        <color rgb="FF63BE7B"/>
      </colorScale>
    </cfRule>
  </conditionalFormatting>
  <conditionalFormatting sqref="AC46">
    <cfRule type="colorScale" priority="4">
      <colorScale>
        <cfvo type="percent" val="0"/>
        <cfvo type="percent" val="100"/>
        <color rgb="FFFCFCFF"/>
        <color rgb="FF63BE7B"/>
      </colorScale>
    </cfRule>
  </conditionalFormatting>
  <conditionalFormatting sqref="AD46">
    <cfRule type="colorScale" priority="3">
      <colorScale>
        <cfvo type="percent" val="0"/>
        <cfvo type="percent" val="100"/>
        <color rgb="FFFCFCFF"/>
        <color rgb="FF63BE7B"/>
      </colorScale>
    </cfRule>
  </conditionalFormatting>
  <conditionalFormatting sqref="AF46">
    <cfRule type="colorScale" priority="2">
      <colorScale>
        <cfvo type="percent" val="0"/>
        <cfvo type="percent" val="100"/>
        <color rgb="FFFCFCFF"/>
        <color rgb="FF63BE7B"/>
      </colorScale>
    </cfRule>
  </conditionalFormatting>
  <conditionalFormatting sqref="AB46:BM46">
    <cfRule type="colorScale" priority="1">
      <colorScale>
        <cfvo type="percent" val="0"/>
        <cfvo type="percent" val="100"/>
        <color rgb="FFFCFCFF"/>
        <color rgb="FF63BE7B"/>
      </colorScale>
    </cfRule>
  </conditionalFormatting>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FA0F8-67F5-4B4D-90B2-3264DB7FF2DB}">
  <dimension ref="A1:AZ102"/>
  <sheetViews>
    <sheetView topLeftCell="B1" workbookViewId="0">
      <selection activeCell="N2" sqref="N2"/>
    </sheetView>
  </sheetViews>
  <sheetFormatPr defaultRowHeight="15"/>
  <cols>
    <col min="1" max="1" width="9.7109375" bestFit="1" customWidth="1"/>
    <col min="2" max="2" width="11.7109375" bestFit="1" customWidth="1"/>
    <col min="3" max="3" width="12.140625" bestFit="1" customWidth="1"/>
    <col min="4" max="4" width="18.140625" bestFit="1" customWidth="1"/>
    <col min="5" max="9" width="8.7109375" customWidth="1"/>
    <col min="10" max="13" width="9.7109375" customWidth="1"/>
    <col min="14" max="14" width="9.140625" customWidth="1"/>
    <col min="16" max="16" width="16.7109375" bestFit="1" customWidth="1"/>
  </cols>
  <sheetData>
    <row r="1" spans="1:52">
      <c r="L1" t="s">
        <v>602</v>
      </c>
      <c r="M1">
        <v>626</v>
      </c>
      <c r="N1">
        <v>797</v>
      </c>
      <c r="O1">
        <v>696</v>
      </c>
      <c r="P1">
        <v>525</v>
      </c>
      <c r="Q1">
        <v>292</v>
      </c>
      <c r="R1">
        <v>694</v>
      </c>
      <c r="S1">
        <v>666</v>
      </c>
      <c r="T1">
        <v>700</v>
      </c>
      <c r="U1">
        <v>795</v>
      </c>
      <c r="V1">
        <v>669</v>
      </c>
      <c r="W1">
        <v>329</v>
      </c>
      <c r="X1">
        <v>715</v>
      </c>
      <c r="Y1">
        <v>767</v>
      </c>
      <c r="Z1">
        <v>347</v>
      </c>
      <c r="AA1">
        <v>526</v>
      </c>
      <c r="AB1">
        <v>488</v>
      </c>
      <c r="AC1">
        <v>379</v>
      </c>
      <c r="AD1">
        <v>612</v>
      </c>
      <c r="AE1">
        <v>380</v>
      </c>
      <c r="AF1">
        <v>778</v>
      </c>
      <c r="AG1">
        <v>468</v>
      </c>
      <c r="AH1">
        <v>1865</v>
      </c>
      <c r="AI1">
        <v>298</v>
      </c>
      <c r="AJ1">
        <v>693</v>
      </c>
      <c r="AK1">
        <v>810</v>
      </c>
      <c r="AL1">
        <v>689</v>
      </c>
      <c r="AM1">
        <v>697</v>
      </c>
      <c r="AN1">
        <v>777</v>
      </c>
      <c r="AO1">
        <v>779</v>
      </c>
      <c r="AP1">
        <v>586</v>
      </c>
      <c r="AQ1">
        <v>649</v>
      </c>
      <c r="AR1">
        <v>695</v>
      </c>
      <c r="AS1">
        <v>328</v>
      </c>
      <c r="AT1">
        <v>487</v>
      </c>
      <c r="AU1">
        <v>714</v>
      </c>
      <c r="AV1">
        <v>296</v>
      </c>
      <c r="AW1">
        <v>300</v>
      </c>
      <c r="AX1">
        <v>519</v>
      </c>
      <c r="AY1">
        <v>528</v>
      </c>
      <c r="AZ1">
        <v>520</v>
      </c>
    </row>
    <row r="2" spans="1:52">
      <c r="M2" t="s">
        <v>603</v>
      </c>
      <c r="N2" t="s">
        <v>603</v>
      </c>
      <c r="O2" t="s">
        <v>604</v>
      </c>
      <c r="P2" t="s">
        <v>604</v>
      </c>
      <c r="Q2" t="s">
        <v>604</v>
      </c>
      <c r="R2" t="s">
        <v>604</v>
      </c>
      <c r="S2" t="s">
        <v>604</v>
      </c>
      <c r="T2" t="s">
        <v>604</v>
      </c>
      <c r="U2" t="s">
        <v>604</v>
      </c>
      <c r="V2" t="s">
        <v>604</v>
      </c>
      <c r="W2" t="s">
        <v>604</v>
      </c>
      <c r="X2" t="s">
        <v>604</v>
      </c>
      <c r="Y2" t="s">
        <v>604</v>
      </c>
      <c r="Z2" t="s">
        <v>604</v>
      </c>
      <c r="AA2" t="s">
        <v>604</v>
      </c>
      <c r="AB2" t="s">
        <v>604</v>
      </c>
      <c r="AC2" t="s">
        <v>604</v>
      </c>
      <c r="AD2" t="s">
        <v>604</v>
      </c>
      <c r="AE2" t="s">
        <v>604</v>
      </c>
      <c r="AF2" t="s">
        <v>604</v>
      </c>
      <c r="AG2" t="s">
        <v>604</v>
      </c>
      <c r="AH2" t="s">
        <v>604</v>
      </c>
      <c r="AI2" t="s">
        <v>604</v>
      </c>
      <c r="AJ2" t="s">
        <v>604</v>
      </c>
      <c r="AK2" t="s">
        <v>604</v>
      </c>
      <c r="AL2" t="s">
        <v>604</v>
      </c>
      <c r="AM2" t="s">
        <v>604</v>
      </c>
      <c r="AN2" t="s">
        <v>604</v>
      </c>
      <c r="AO2" t="s">
        <v>604</v>
      </c>
      <c r="AP2" t="s">
        <v>604</v>
      </c>
      <c r="AQ2" t="s">
        <v>604</v>
      </c>
      <c r="AR2" t="s">
        <v>604</v>
      </c>
      <c r="AS2" t="s">
        <v>604</v>
      </c>
      <c r="AT2" t="s">
        <v>604</v>
      </c>
      <c r="AU2" t="s">
        <v>604</v>
      </c>
      <c r="AV2" t="s">
        <v>604</v>
      </c>
      <c r="AW2" t="s">
        <v>604</v>
      </c>
      <c r="AX2" t="s">
        <v>604</v>
      </c>
      <c r="AY2" t="s">
        <v>604</v>
      </c>
      <c r="AZ2" t="s">
        <v>604</v>
      </c>
    </row>
    <row r="3" spans="1:52">
      <c r="B3" s="96"/>
      <c r="G3" t="s">
        <v>605</v>
      </c>
      <c r="L3" t="s">
        <v>603</v>
      </c>
      <c r="M3" t="s">
        <v>606</v>
      </c>
      <c r="N3" t="s">
        <v>607</v>
      </c>
      <c r="O3" t="s">
        <v>604</v>
      </c>
      <c r="P3" t="s">
        <v>607</v>
      </c>
    </row>
    <row r="4" spans="1:52" s="7" customFormat="1" ht="90">
      <c r="A4" s="20" t="s">
        <v>498</v>
      </c>
      <c r="B4" s="97" t="s">
        <v>608</v>
      </c>
      <c r="C4" s="7" t="s">
        <v>31</v>
      </c>
      <c r="D4" s="7" t="s">
        <v>33</v>
      </c>
      <c r="E4" s="7" t="s">
        <v>609</v>
      </c>
      <c r="F4" s="7" t="s">
        <v>610</v>
      </c>
      <c r="G4" s="98" t="s">
        <v>611</v>
      </c>
      <c r="H4" s="99" t="s">
        <v>612</v>
      </c>
      <c r="I4" s="99" t="s">
        <v>613</v>
      </c>
      <c r="J4" s="99" t="s">
        <v>614</v>
      </c>
      <c r="K4" s="99" t="s">
        <v>615</v>
      </c>
      <c r="L4" s="100" t="s">
        <v>616</v>
      </c>
      <c r="M4" s="7" t="s">
        <v>617</v>
      </c>
      <c r="N4" s="7" t="s">
        <v>618</v>
      </c>
      <c r="O4" s="7" t="s">
        <v>619</v>
      </c>
      <c r="P4" s="7" t="s">
        <v>620</v>
      </c>
      <c r="Q4" s="7" t="s">
        <v>621</v>
      </c>
      <c r="R4" s="7" t="s">
        <v>622</v>
      </c>
      <c r="S4" s="7" t="s">
        <v>623</v>
      </c>
      <c r="T4" s="7" t="s">
        <v>624</v>
      </c>
      <c r="U4" s="7" t="s">
        <v>625</v>
      </c>
      <c r="V4" s="7" t="s">
        <v>626</v>
      </c>
      <c r="W4" s="7" t="s">
        <v>627</v>
      </c>
      <c r="X4" s="7" t="s">
        <v>628</v>
      </c>
      <c r="Y4" s="7" t="s">
        <v>629</v>
      </c>
      <c r="Z4" s="7" t="s">
        <v>630</v>
      </c>
      <c r="AA4" s="7" t="s">
        <v>631</v>
      </c>
      <c r="AB4" s="7" t="s">
        <v>632</v>
      </c>
      <c r="AC4" s="7" t="s">
        <v>633</v>
      </c>
      <c r="AD4" s="7" t="s">
        <v>634</v>
      </c>
      <c r="AE4" s="7" t="s">
        <v>635</v>
      </c>
      <c r="AF4" s="7" t="s">
        <v>636</v>
      </c>
      <c r="AG4" s="7" t="s">
        <v>637</v>
      </c>
      <c r="AH4" s="7" t="s">
        <v>638</v>
      </c>
      <c r="AI4" s="7" t="s">
        <v>639</v>
      </c>
      <c r="AJ4" s="7" t="s">
        <v>640</v>
      </c>
      <c r="AK4" s="7" t="s">
        <v>641</v>
      </c>
      <c r="AL4" s="7" t="s">
        <v>642</v>
      </c>
      <c r="AM4" s="7" t="s">
        <v>643</v>
      </c>
      <c r="AN4" s="7" t="s">
        <v>644</v>
      </c>
      <c r="AO4" s="7" t="s">
        <v>645</v>
      </c>
      <c r="AP4" s="7" t="s">
        <v>646</v>
      </c>
      <c r="AQ4" s="7" t="s">
        <v>647</v>
      </c>
      <c r="AR4" s="7" t="s">
        <v>648</v>
      </c>
      <c r="AS4" s="7" t="s">
        <v>649</v>
      </c>
      <c r="AT4" s="7" t="s">
        <v>650</v>
      </c>
      <c r="AU4" s="7" t="s">
        <v>651</v>
      </c>
      <c r="AV4" s="7" t="s">
        <v>652</v>
      </c>
      <c r="AW4" s="7" t="s">
        <v>653</v>
      </c>
      <c r="AX4" s="7" t="s">
        <v>654</v>
      </c>
      <c r="AY4" s="7" t="s">
        <v>655</v>
      </c>
      <c r="AZ4" s="7" t="s">
        <v>656</v>
      </c>
    </row>
    <row r="5" spans="1:52">
      <c r="A5" s="65">
        <f>'Emission Factors'!A3</f>
        <v>44308</v>
      </c>
      <c r="B5" s="96">
        <f>'Emission Factors'!E3</f>
        <v>44308.381249999999</v>
      </c>
      <c r="C5" s="65" t="str">
        <f>'Filter Weights'!E3</f>
        <v>20210422-K</v>
      </c>
      <c r="D5" s="65" t="str">
        <f>CONCATENATE('Emission Factors'!C3," ",'Emission Factors'!D3)</f>
        <v>Wet spruce Startup</v>
      </c>
      <c r="E5" s="9">
        <f>'Phase Parameters'!R3</f>
        <v>26.032399999999999</v>
      </c>
      <c r="F5" s="2">
        <f>('Phase CEMS VOC Concentration'!J3-Backgrounds!J3)/('Phase CEMS VOC Concentration'!J3 - Backgrounds!J3+ 'Phase CEMS VOC Concentration'!K3 - Backgrounds!L3)</f>
        <v>0.93567986347213161</v>
      </c>
      <c r="G5" s="25">
        <f>'Phase CEMS VOC Concentration'!J3</f>
        <v>2034.36</v>
      </c>
      <c r="H5" s="9">
        <f>'Phase CEMS VOC Concentration'!K3</f>
        <v>109.229</v>
      </c>
      <c r="I5" s="9">
        <f>'Phase CEMS VOC Concentration'!L3</f>
        <v>86.252300000000005</v>
      </c>
      <c r="J5" s="9">
        <f>'Filter Weights'!CY3</f>
        <v>23.141270298905123</v>
      </c>
      <c r="K5" s="9">
        <f>'Filter Weights'!EL3</f>
        <v>14.415290184349667</v>
      </c>
      <c r="L5" s="9">
        <f>'Emission Factors'!Y3</f>
        <v>13.620488827628778</v>
      </c>
      <c r="M5" s="2">
        <f>'Emission Factors'!Z3</f>
        <v>8.4845514687346668</v>
      </c>
      <c r="N5" s="2">
        <f>'Emission Factors'!AA3</f>
        <v>0.45376630629239384</v>
      </c>
      <c r="O5" s="18">
        <f>'Emission Factors'!AB3</f>
        <v>2.6605985176392133E-3</v>
      </c>
      <c r="P5" s="18">
        <f>'Emission Factors'!AC3</f>
        <v>0</v>
      </c>
      <c r="Q5" s="18">
        <f>'Emission Factors'!AD3</f>
        <v>0</v>
      </c>
      <c r="R5" s="18">
        <f>'Emission Factors'!AE3</f>
        <v>3.3521836311416599E-4</v>
      </c>
      <c r="S5" s="18">
        <f>'Emission Factors'!AF3</f>
        <v>0</v>
      </c>
      <c r="T5" s="18">
        <f>'Emission Factors'!AG3</f>
        <v>1.2211590433928981E-2</v>
      </c>
      <c r="U5" s="18">
        <f>'Emission Factors'!AH3</f>
        <v>1.1696197876241906E-2</v>
      </c>
      <c r="V5" s="18">
        <f>'Emission Factors'!AI3</f>
        <v>1.8585539545094783E-2</v>
      </c>
      <c r="W5" s="18">
        <f>'Emission Factors'!AJ3</f>
        <v>2.923797916947368E-3</v>
      </c>
      <c r="X5" s="18">
        <f>'Emission Factors'!AK3</f>
        <v>8.4510860336827994E-4</v>
      </c>
      <c r="Y5" s="18">
        <f>'Emission Factors'!AL3</f>
        <v>4.2121485417542979E-5</v>
      </c>
      <c r="Z5" s="18">
        <f>'Emission Factors'!AM3</f>
        <v>0</v>
      </c>
      <c r="AA5" s="18">
        <f>'Emission Factors'!AN3</f>
        <v>2.2934072344052244E-4</v>
      </c>
      <c r="AB5" s="18">
        <f>'Emission Factors'!AO3</f>
        <v>2.082627857829849E-4</v>
      </c>
      <c r="AC5" s="18">
        <f>'Emission Factors'!AP3</f>
        <v>1.727363180232571E-5</v>
      </c>
      <c r="AD5" s="18">
        <f>'Emission Factors'!AQ3</f>
        <v>4.8159100712206415E-5</v>
      </c>
      <c r="AE5" s="18">
        <f>'Emission Factors'!AR3</f>
        <v>0</v>
      </c>
      <c r="AF5" s="18">
        <f>'Emission Factors'!AS3</f>
        <v>3.269041998576843E-3</v>
      </c>
      <c r="AG5" s="18">
        <f>'Emission Factors'!AT3</f>
        <v>0</v>
      </c>
      <c r="AH5" s="18">
        <f>'Emission Factors'!AU3</f>
        <v>0</v>
      </c>
      <c r="AI5" s="18">
        <f>'Emission Factors'!AV3</f>
        <v>0</v>
      </c>
      <c r="AJ5" s="18">
        <f>'Emission Factors'!AW3</f>
        <v>0</v>
      </c>
      <c r="AK5" s="18">
        <f>'Emission Factors'!AX3</f>
        <v>0</v>
      </c>
      <c r="AL5" s="18">
        <f>'Emission Factors'!AY3</f>
        <v>4.2121485417542979E-5</v>
      </c>
      <c r="AM5" s="18">
        <f>'Emission Factors'!AZ3</f>
        <v>0</v>
      </c>
      <c r="AN5" s="18">
        <f>'Emission Factors'!BA3</f>
        <v>0</v>
      </c>
      <c r="AO5" s="18">
        <f>'Emission Factors'!BB3</f>
        <v>2.0145058243172734E-5</v>
      </c>
      <c r="AP5" s="18">
        <f>'Emission Factors'!BC3</f>
        <v>0</v>
      </c>
      <c r="AQ5" s="18">
        <f>'Emission Factors'!BD3</f>
        <v>0</v>
      </c>
      <c r="AR5" s="18">
        <f>'Emission Factors'!BE3</f>
        <v>0</v>
      </c>
      <c r="AS5" s="18">
        <f>'Emission Factors'!BF3</f>
        <v>1.1898770094857845E-3</v>
      </c>
      <c r="AT5" s="18">
        <f>'Emission Factors'!BG3</f>
        <v>0</v>
      </c>
      <c r="AU5" s="18">
        <f>'Emission Factors'!BH3</f>
        <v>6.6295555309350276E-4</v>
      </c>
      <c r="AV5" s="18">
        <f>'Emission Factors'!BI3</f>
        <v>0</v>
      </c>
      <c r="AW5" s="18">
        <f>'Emission Factors'!BJ3</f>
        <v>0</v>
      </c>
      <c r="AX5" s="18">
        <f>'Emission Factors'!BK3</f>
        <v>0</v>
      </c>
      <c r="AY5" s="18">
        <f>'Emission Factors'!BL3</f>
        <v>1.6482320380777689E-4</v>
      </c>
      <c r="AZ5" s="18">
        <f>'Emission Factors'!BM3</f>
        <v>1.1821823426663242E-5</v>
      </c>
    </row>
    <row r="6" spans="1:52">
      <c r="A6" s="65">
        <f>'Emission Factors'!A4</f>
        <v>44308</v>
      </c>
      <c r="B6" s="96">
        <f>'Emission Factors'!E4</f>
        <v>44308.406944444447</v>
      </c>
      <c r="C6" s="65" t="str">
        <f>'Filter Weights'!E4</f>
        <v>20210422-HF</v>
      </c>
      <c r="D6" s="65" t="str">
        <f>CONCATENATE('Emission Factors'!C4," ",'Emission Factors'!D4)</f>
        <v>Wet spruce High</v>
      </c>
      <c r="E6" s="9">
        <f>'Phase Parameters'!R4</f>
        <v>25.4498</v>
      </c>
      <c r="F6" s="2">
        <f>('Phase CEMS VOC Concentration'!J4-Backgrounds!J4)/('Phase CEMS VOC Concentration'!J4 - Backgrounds!J4+ 'Phase CEMS VOC Concentration'!K4 - Backgrounds!L4)</f>
        <v>0.98023391260748893</v>
      </c>
      <c r="G6" s="25">
        <f>'Phase CEMS VOC Concentration'!J4</f>
        <v>1359.26</v>
      </c>
      <c r="H6" s="9">
        <f>'Phase CEMS VOC Concentration'!K4</f>
        <v>18.224799999999998</v>
      </c>
      <c r="I6" s="9">
        <f>'Phase CEMS VOC Concentration'!L4</f>
        <v>45.237499999999997</v>
      </c>
      <c r="J6" s="9">
        <f>'Filter Weights'!CY4</f>
        <v>4.8106554047586396</v>
      </c>
      <c r="K6" s="9">
        <f>'Filter Weights'!EL4</f>
        <v>2.484346234016741</v>
      </c>
      <c r="L6" s="9">
        <f>'Emission Factors'!Y4</f>
        <v>5.1083822512528299</v>
      </c>
      <c r="M6" s="2">
        <f>'Emission Factors'!Z4</f>
        <v>2.6381000383573854</v>
      </c>
      <c r="N6" s="2">
        <f>'Emission Factors'!AA4</f>
        <v>9.6546223336212447E-2</v>
      </c>
      <c r="O6" s="18">
        <f>'Emission Factors'!AB4</f>
        <v>0</v>
      </c>
      <c r="P6" s="18">
        <f>'Emission Factors'!AC4</f>
        <v>0</v>
      </c>
      <c r="Q6" s="18">
        <f>'Emission Factors'!AD4</f>
        <v>0</v>
      </c>
      <c r="R6" s="18">
        <f>'Emission Factors'!AE4</f>
        <v>1.1414504158543533E-4</v>
      </c>
      <c r="S6" s="18">
        <f>'Emission Factors'!AF4</f>
        <v>4.1927472753816468E-5</v>
      </c>
      <c r="T6" s="18">
        <f>'Emission Factors'!AG4</f>
        <v>8.066787012990715E-3</v>
      </c>
      <c r="U6" s="18">
        <f>'Emission Factors'!AH4</f>
        <v>5.9843388165916195E-3</v>
      </c>
      <c r="V6" s="18">
        <f>'Emission Factors'!AI4</f>
        <v>2.5106146049058978E-2</v>
      </c>
      <c r="W6" s="18">
        <f>'Emission Factors'!AJ4</f>
        <v>3.1805563770419812E-3</v>
      </c>
      <c r="X6" s="18">
        <f>'Emission Factors'!AK4</f>
        <v>1.898306552405722E-5</v>
      </c>
      <c r="Y6" s="18">
        <f>'Emission Factors'!AL4</f>
        <v>1.8180284693175191E-5</v>
      </c>
      <c r="Z6" s="18">
        <f>'Emission Factors'!AM4</f>
        <v>0</v>
      </c>
      <c r="AA6" s="18">
        <f>'Emission Factors'!AN4</f>
        <v>4.8897097943017211E-5</v>
      </c>
      <c r="AB6" s="18">
        <f>'Emission Factors'!AO4</f>
        <v>7.125138265481506E-6</v>
      </c>
      <c r="AC6" s="18">
        <f>'Emission Factors'!AP4</f>
        <v>0</v>
      </c>
      <c r="AD6" s="18">
        <f>'Emission Factors'!AQ4</f>
        <v>0</v>
      </c>
      <c r="AE6" s="18">
        <f>'Emission Factors'!AR4</f>
        <v>0</v>
      </c>
      <c r="AF6" s="18">
        <f>'Emission Factors'!AS4</f>
        <v>3.7184261288032666E-3</v>
      </c>
      <c r="AG6" s="18">
        <f>'Emission Factors'!AT4</f>
        <v>0</v>
      </c>
      <c r="AH6" s="18">
        <f>'Emission Factors'!AU4</f>
        <v>0</v>
      </c>
      <c r="AI6" s="18">
        <f>'Emission Factors'!AV4</f>
        <v>0</v>
      </c>
      <c r="AJ6" s="18">
        <f>'Emission Factors'!AW4</f>
        <v>0</v>
      </c>
      <c r="AK6" s="18">
        <f>'Emission Factors'!AX4</f>
        <v>3.7061930297217716E-5</v>
      </c>
      <c r="AL6" s="18">
        <f>'Emission Factors'!AY4</f>
        <v>9.6783280278373818E-5</v>
      </c>
      <c r="AM6" s="18">
        <f>'Emission Factors'!AZ4</f>
        <v>0</v>
      </c>
      <c r="AN6" s="18">
        <f>'Emission Factors'!BA4</f>
        <v>0</v>
      </c>
      <c r="AO6" s="18">
        <f>'Emission Factors'!BB4</f>
        <v>7.2721138772700766E-5</v>
      </c>
      <c r="AP6" s="18">
        <f>'Emission Factors'!BC4</f>
        <v>0</v>
      </c>
      <c r="AQ6" s="18">
        <f>'Emission Factors'!BD4</f>
        <v>8.448485239769648E-5</v>
      </c>
      <c r="AR6" s="18">
        <f>'Emission Factors'!BE4</f>
        <v>6.6304567704521285E-5</v>
      </c>
      <c r="AS6" s="18">
        <f>'Emission Factors'!BF4</f>
        <v>0</v>
      </c>
      <c r="AT6" s="18">
        <f>'Emission Factors'!BG4</f>
        <v>5.9192868103955703E-4</v>
      </c>
      <c r="AU6" s="18">
        <f>'Emission Factors'!BH4</f>
        <v>0</v>
      </c>
      <c r="AV6" s="18">
        <f>'Emission Factors'!BI4</f>
        <v>1.2084542178404684E-4</v>
      </c>
      <c r="AW6" s="18">
        <f>'Emission Factors'!BJ4</f>
        <v>0</v>
      </c>
      <c r="AX6" s="18">
        <f>'Emission Factors'!BK4</f>
        <v>0</v>
      </c>
      <c r="AY6" s="18">
        <f>'Emission Factors'!BL4</f>
        <v>0</v>
      </c>
      <c r="AZ6" s="18">
        <f>'Emission Factors'!BM4</f>
        <v>0</v>
      </c>
    </row>
    <row r="7" spans="1:52">
      <c r="A7" s="65">
        <f>'Emission Factors'!A5</f>
        <v>44312</v>
      </c>
      <c r="B7" s="96">
        <f>'Emission Factors'!E5</f>
        <v>44312.376388888886</v>
      </c>
      <c r="C7" s="65" t="str">
        <f>'Filter Weights'!E5</f>
        <v>20210426-K</v>
      </c>
      <c r="D7" s="65" t="str">
        <f>CONCATENATE('Emission Factors'!C5," ",'Emission Factors'!D5)</f>
        <v>Wet spruce Startup</v>
      </c>
      <c r="E7" s="9">
        <f>'Phase Parameters'!R5</f>
        <v>26.9131</v>
      </c>
      <c r="F7" s="2">
        <f>('Phase CEMS VOC Concentration'!J5-Backgrounds!J5)/('Phase CEMS VOC Concentration'!J5 - Backgrounds!J5+ 'Phase CEMS VOC Concentration'!K5 - Backgrounds!L5)</f>
        <v>0.93785824262551676</v>
      </c>
      <c r="G7" s="25">
        <f>'Phase CEMS VOC Concentration'!J5</f>
        <v>2192.56</v>
      </c>
      <c r="H7" s="9">
        <f>'Phase CEMS VOC Concentration'!K5</f>
        <v>114.738</v>
      </c>
      <c r="I7" s="9">
        <f>'Phase CEMS VOC Concentration'!L5</f>
        <v>81.977400000000003</v>
      </c>
      <c r="J7" s="9">
        <f>'Filter Weights'!CY5</f>
        <v>25.511620205024126</v>
      </c>
      <c r="K7" s="9">
        <f>'Filter Weights'!EL5</f>
        <v>11.97327588583636</v>
      </c>
      <c r="L7" s="9">
        <f>'Emission Factors'!Y5</f>
        <v>13.991452940596265</v>
      </c>
      <c r="M7" s="2">
        <f>'Emission Factors'!Z5</f>
        <v>6.5665577001833952</v>
      </c>
      <c r="N7" s="2">
        <f>'Emission Factors'!AA5</f>
        <v>0.57185819640987223</v>
      </c>
      <c r="O7" s="18">
        <f>'Emission Factors'!AB5</f>
        <v>0</v>
      </c>
      <c r="P7" s="18">
        <f>'Emission Factors'!AC5</f>
        <v>0</v>
      </c>
      <c r="Q7" s="18">
        <f>'Emission Factors'!AD5</f>
        <v>0</v>
      </c>
      <c r="R7" s="18">
        <f>'Emission Factors'!AE5</f>
        <v>2.7625311692366459E-3</v>
      </c>
      <c r="S7" s="18">
        <f>'Emission Factors'!AF5</f>
        <v>2.3880116256438984E-4</v>
      </c>
      <c r="T7" s="18">
        <f>'Emission Factors'!AG5</f>
        <v>2.8013891498312501E-2</v>
      </c>
      <c r="U7" s="18">
        <f>'Emission Factors'!AH5</f>
        <v>1.8216637704056599E-2</v>
      </c>
      <c r="V7" s="18">
        <f>'Emission Factors'!AI5</f>
        <v>2.470560391779255E-2</v>
      </c>
      <c r="W7" s="18">
        <f>'Emission Factors'!AJ5</f>
        <v>4.9571230099271935E-3</v>
      </c>
      <c r="X7" s="18">
        <f>'Emission Factors'!AK5</f>
        <v>3.4038446461388339E-4</v>
      </c>
      <c r="Y7" s="18">
        <f>'Emission Factors'!AL5</f>
        <v>1.2157233456198266E-4</v>
      </c>
      <c r="Z7" s="18">
        <f>'Emission Factors'!AM5</f>
        <v>0</v>
      </c>
      <c r="AA7" s="18">
        <f>'Emission Factors'!AN5</f>
        <v>2.2693557340826189E-4</v>
      </c>
      <c r="AB7" s="18">
        <f>'Emission Factors'!AO5</f>
        <v>3.1439807171163784E-4</v>
      </c>
      <c r="AC7" s="18">
        <f>'Emission Factors'!AP5</f>
        <v>2.1204705977845196E-5</v>
      </c>
      <c r="AD7" s="18">
        <f>'Emission Factors'!AQ5</f>
        <v>0</v>
      </c>
      <c r="AE7" s="18">
        <f>'Emission Factors'!AR5</f>
        <v>0</v>
      </c>
      <c r="AF7" s="18">
        <f>'Emission Factors'!AS5</f>
        <v>1.8495097159889244E-3</v>
      </c>
      <c r="AG7" s="18">
        <f>'Emission Factors'!AT5</f>
        <v>3.5609144088666445E-5</v>
      </c>
      <c r="AH7" s="18">
        <f>'Emission Factors'!AU5</f>
        <v>7.3811774555489464E-5</v>
      </c>
      <c r="AI7" s="18">
        <f>'Emission Factors'!AV5</f>
        <v>4.3417053446917737E-5</v>
      </c>
      <c r="AJ7" s="18">
        <f>'Emission Factors'!AW5</f>
        <v>0</v>
      </c>
      <c r="AK7" s="18">
        <f>'Emission Factors'!AX5</f>
        <v>4.725592052684148E-5</v>
      </c>
      <c r="AL7" s="18">
        <f>'Emission Factors'!AY5</f>
        <v>7.3811774555489464E-5</v>
      </c>
      <c r="AM7" s="18">
        <f>'Emission Factors'!AZ5</f>
        <v>0</v>
      </c>
      <c r="AN7" s="18">
        <f>'Emission Factors'!BA5</f>
        <v>0</v>
      </c>
      <c r="AO7" s="18">
        <f>'Emission Factors'!BB5</f>
        <v>7.3811774555489464E-5</v>
      </c>
      <c r="AP7" s="18">
        <f>'Emission Factors'!BC5</f>
        <v>0</v>
      </c>
      <c r="AQ7" s="18">
        <f>'Emission Factors'!BD5</f>
        <v>3.4300765822845112E-4</v>
      </c>
      <c r="AR7" s="18">
        <f>'Emission Factors'!BE5</f>
        <v>8.8357036012012401E-4</v>
      </c>
      <c r="AS7" s="18">
        <f>'Emission Factors'!BF5</f>
        <v>0</v>
      </c>
      <c r="AT7" s="18">
        <f>'Emission Factors'!BG5</f>
        <v>5.4056270189167279E-4</v>
      </c>
      <c r="AU7" s="18">
        <f>'Emission Factors'!BH5</f>
        <v>0</v>
      </c>
      <c r="AV7" s="18">
        <f>'Emission Factors'!BI5</f>
        <v>0</v>
      </c>
      <c r="AW7" s="18">
        <f>'Emission Factors'!BJ5</f>
        <v>0</v>
      </c>
      <c r="AX7" s="18">
        <f>'Emission Factors'!BK5</f>
        <v>0</v>
      </c>
      <c r="AY7" s="18">
        <f>'Emission Factors'!BL5</f>
        <v>9.7692054558736068E-5</v>
      </c>
      <c r="AZ7" s="18">
        <f>'Emission Factors'!BM5</f>
        <v>0</v>
      </c>
    </row>
    <row r="8" spans="1:52">
      <c r="A8" s="65">
        <f>'Emission Factors'!A6</f>
        <v>44312</v>
      </c>
      <c r="B8" s="96">
        <f>'Emission Factors'!E6</f>
        <v>44312.397222222222</v>
      </c>
      <c r="C8" s="65" t="str">
        <f>'Filter Weights'!E6</f>
        <v>20210426-HF</v>
      </c>
      <c r="D8" s="65" t="str">
        <f>CONCATENATE('Emission Factors'!C6," ",'Emission Factors'!D6)</f>
        <v>Wet spruce High</v>
      </c>
      <c r="E8" s="9">
        <f>'Phase Parameters'!R6</f>
        <v>25.328900000000001</v>
      </c>
      <c r="F8" s="2">
        <f>('Phase CEMS VOC Concentration'!J6-Backgrounds!J6)/('Phase CEMS VOC Concentration'!J6 - Backgrounds!J6+ 'Phase CEMS VOC Concentration'!K6 - Backgrounds!L6)</f>
        <v>0.98723501029019278</v>
      </c>
      <c r="G8" s="25">
        <f>'Phase CEMS VOC Concentration'!J6</f>
        <v>1212.32</v>
      </c>
      <c r="H8" s="9">
        <f>'Phase CEMS VOC Concentration'!K6</f>
        <v>9.6858500000000003</v>
      </c>
      <c r="I8" s="9">
        <f>'Phase CEMS VOC Concentration'!L6</f>
        <v>37.804499999999997</v>
      </c>
      <c r="J8" s="9">
        <f>'Filter Weights'!CY6</f>
        <v>3.4047903372420301</v>
      </c>
      <c r="K8" s="9">
        <f>'Filter Weights'!EL6</f>
        <v>1.5542868574087243</v>
      </c>
      <c r="L8" s="9">
        <f>'Emission Factors'!Y6</f>
        <v>4.4366171684933011</v>
      </c>
      <c r="M8" s="2">
        <f>'Emission Factors'!Z6</f>
        <v>2.0253158266211502</v>
      </c>
      <c r="N8" s="2">
        <f>'Emission Factors'!AA6</f>
        <v>0.11049038063725826</v>
      </c>
      <c r="O8" s="18">
        <f>'Emission Factors'!AB6</f>
        <v>0</v>
      </c>
      <c r="P8" s="18">
        <f>'Emission Factors'!AC6</f>
        <v>0</v>
      </c>
      <c r="Q8" s="18">
        <f>'Emission Factors'!AD6</f>
        <v>0</v>
      </c>
      <c r="R8" s="18">
        <f>'Emission Factors'!AE6</f>
        <v>0</v>
      </c>
      <c r="S8" s="18">
        <f>'Emission Factors'!AF6</f>
        <v>1.7140982752516127E-4</v>
      </c>
      <c r="T8" s="18">
        <f>'Emission Factors'!AG6</f>
        <v>6.939600993227343E-3</v>
      </c>
      <c r="U8" s="18">
        <f>'Emission Factors'!AH6</f>
        <v>7.1853033401005828E-3</v>
      </c>
      <c r="V8" s="18">
        <f>'Emission Factors'!AI6</f>
        <v>2.4421837200860455E-2</v>
      </c>
      <c r="W8" s="18">
        <f>'Emission Factors'!AJ6</f>
        <v>2.4416895584093842E-3</v>
      </c>
      <c r="X8" s="18">
        <f>'Emission Factors'!AK6</f>
        <v>0</v>
      </c>
      <c r="Y8" s="18">
        <f>'Emission Factors'!AL6</f>
        <v>0</v>
      </c>
      <c r="Z8" s="18">
        <f>'Emission Factors'!AM6</f>
        <v>0</v>
      </c>
      <c r="AA8" s="18">
        <f>'Emission Factors'!AN6</f>
        <v>1.1009845648898785E-4</v>
      </c>
      <c r="AB8" s="18">
        <f>'Emission Factors'!AO6</f>
        <v>0</v>
      </c>
      <c r="AC8" s="18">
        <f>'Emission Factors'!AP6</f>
        <v>0</v>
      </c>
      <c r="AD8" s="18">
        <f>'Emission Factors'!AQ6</f>
        <v>0</v>
      </c>
      <c r="AE8" s="18">
        <f>'Emission Factors'!AR6</f>
        <v>0</v>
      </c>
      <c r="AF8" s="18">
        <f>'Emission Factors'!AS6</f>
        <v>3.0815818026339739E-3</v>
      </c>
      <c r="AG8" s="18">
        <f>'Emission Factors'!AT6</f>
        <v>0</v>
      </c>
      <c r="AH8" s="18">
        <f>'Emission Factors'!AU6</f>
        <v>6.5055878489457639E-6</v>
      </c>
      <c r="AI8" s="18">
        <f>'Emission Factors'!AV6</f>
        <v>0</v>
      </c>
      <c r="AJ8" s="18">
        <f>'Emission Factors'!AW6</f>
        <v>6.5055878489457639E-6</v>
      </c>
      <c r="AK8" s="18">
        <f>'Emission Factors'!AX6</f>
        <v>2.0256745547193691E-5</v>
      </c>
      <c r="AL8" s="18">
        <f>'Emission Factors'!AY6</f>
        <v>1.1355207881796242E-4</v>
      </c>
      <c r="AM8" s="18">
        <f>'Emission Factors'!AZ6</f>
        <v>0</v>
      </c>
      <c r="AN8" s="18">
        <f>'Emission Factors'!BA6</f>
        <v>0</v>
      </c>
      <c r="AO8" s="18">
        <f>'Emission Factors'!BB6</f>
        <v>0</v>
      </c>
      <c r="AP8" s="18">
        <f>'Emission Factors'!BC6</f>
        <v>0</v>
      </c>
      <c r="AQ8" s="18">
        <f>'Emission Factors'!BD6</f>
        <v>2.661376847295994E-5</v>
      </c>
      <c r="AR8" s="18">
        <f>'Emission Factors'!BE6</f>
        <v>0</v>
      </c>
      <c r="AS8" s="18">
        <f>'Emission Factors'!BF6</f>
        <v>2.2580481580309253E-4</v>
      </c>
      <c r="AT8" s="18">
        <f>'Emission Factors'!BG6</f>
        <v>0</v>
      </c>
      <c r="AU8" s="18">
        <f>'Emission Factors'!BH6</f>
        <v>0</v>
      </c>
      <c r="AV8" s="18">
        <f>'Emission Factors'!BI6</f>
        <v>0</v>
      </c>
      <c r="AW8" s="18">
        <f>'Emission Factors'!BJ6</f>
        <v>0</v>
      </c>
      <c r="AX8" s="18">
        <f>'Emission Factors'!BK6</f>
        <v>0</v>
      </c>
      <c r="AY8" s="18">
        <f>'Emission Factors'!BL6</f>
        <v>0</v>
      </c>
      <c r="AZ8" s="18">
        <f>'Emission Factors'!BM6</f>
        <v>8.1870402822566594E-6</v>
      </c>
    </row>
    <row r="9" spans="1:52">
      <c r="A9" s="65">
        <f>'Emission Factors'!A7</f>
        <v>44313</v>
      </c>
      <c r="B9" s="96">
        <f>'Emission Factors'!E7</f>
        <v>44313.375</v>
      </c>
      <c r="C9" s="65" t="str">
        <f>'Filter Weights'!E7</f>
        <v>20210427-K</v>
      </c>
      <c r="D9" s="65" t="str">
        <f>CONCATENATE('Emission Factors'!C7," ",'Emission Factors'!D7)</f>
        <v>Wet spruce Startup</v>
      </c>
      <c r="E9" s="9">
        <f>'Phase Parameters'!R7</f>
        <v>27.586200000000002</v>
      </c>
      <c r="F9" s="2">
        <f>('Phase CEMS VOC Concentration'!J7-Backgrounds!J7)/('Phase CEMS VOC Concentration'!J7 - Backgrounds!J7+ 'Phase CEMS VOC Concentration'!K7 - Backgrounds!L7)</f>
        <v>0.94591441854001301</v>
      </c>
      <c r="G9" s="25">
        <f>'Phase CEMS VOC Concentration'!J7</f>
        <v>2446.66</v>
      </c>
      <c r="H9" s="9">
        <f>'Phase CEMS VOC Concentration'!K7</f>
        <v>113.197</v>
      </c>
      <c r="I9" s="9">
        <f>'Phase CEMS VOC Concentration'!L7</f>
        <v>60.165399999999998</v>
      </c>
      <c r="J9" s="9">
        <f>'Filter Weights'!CY7</f>
        <v>20.34520975412298</v>
      </c>
      <c r="K9" s="9">
        <f>'Filter Weights'!EL7</f>
        <v>11.137217625286961</v>
      </c>
      <c r="L9" s="9">
        <f>'Emission Factors'!Y7</f>
        <v>10.075678156500425</v>
      </c>
      <c r="M9" s="2">
        <f>'Emission Factors'!Z7</f>
        <v>5.5155499357068507</v>
      </c>
      <c r="N9" s="2">
        <f>'Emission Factors'!AA7</f>
        <v>0.38995538108383226</v>
      </c>
      <c r="O9" s="18">
        <f>'Emission Factors'!AB7</f>
        <v>1.4345423129161073E-3</v>
      </c>
      <c r="P9" s="18">
        <f>'Emission Factors'!AC7</f>
        <v>4.6323104864748324E-3</v>
      </c>
      <c r="Q9" s="18">
        <f>'Emission Factors'!AD7</f>
        <v>0</v>
      </c>
      <c r="R9" s="18">
        <f>'Emission Factors'!AE7</f>
        <v>6.0499785883962921E-4</v>
      </c>
      <c r="S9" s="18">
        <f>'Emission Factors'!AF7</f>
        <v>0</v>
      </c>
      <c r="T9" s="18">
        <f>'Emission Factors'!AG7</f>
        <v>1.1826476413467775E-2</v>
      </c>
      <c r="U9" s="18">
        <f>'Emission Factors'!AH7</f>
        <v>1.1886251091020362E-2</v>
      </c>
      <c r="V9" s="18">
        <f>'Emission Factors'!AI7</f>
        <v>1.8420833065123172E-2</v>
      </c>
      <c r="W9" s="18">
        <f>'Emission Factors'!AJ7</f>
        <v>3.9340992105485707E-3</v>
      </c>
      <c r="X9" s="18">
        <f>'Emission Factors'!AK7</f>
        <v>0</v>
      </c>
      <c r="Y9" s="18">
        <f>'Emission Factors'!AL7</f>
        <v>1.030420029121935E-4</v>
      </c>
      <c r="Z9" s="18">
        <f>'Emission Factors'!AM7</f>
        <v>0</v>
      </c>
      <c r="AA9" s="18">
        <f>'Emission Factors'!AN7</f>
        <v>6.1256806123507544E-5</v>
      </c>
      <c r="AB9" s="18">
        <f>'Emission Factors'!AO7</f>
        <v>1.2117541988090461E-4</v>
      </c>
      <c r="AC9" s="18">
        <f>'Emission Factors'!AP7</f>
        <v>2.2772004095905389E-5</v>
      </c>
      <c r="AD9" s="18">
        <f>'Emission Factors'!AQ7</f>
        <v>0</v>
      </c>
      <c r="AE9" s="18">
        <f>'Emission Factors'!AR7</f>
        <v>2.5188045156313967E-5</v>
      </c>
      <c r="AF9" s="18">
        <f>'Emission Factors'!AS7</f>
        <v>2.1124527236727089E-3</v>
      </c>
      <c r="AG9" s="18">
        <f>'Emission Factors'!AT7</f>
        <v>0</v>
      </c>
      <c r="AH9" s="18">
        <f>'Emission Factors'!AU7</f>
        <v>0</v>
      </c>
      <c r="AI9" s="18">
        <f>'Emission Factors'!AV7</f>
        <v>0</v>
      </c>
      <c r="AJ9" s="18">
        <f>'Emission Factors'!AW7</f>
        <v>0</v>
      </c>
      <c r="AK9" s="18">
        <f>'Emission Factors'!AX7</f>
        <v>5.0249871539156985E-5</v>
      </c>
      <c r="AL9" s="18">
        <f>'Emission Factors'!AY7</f>
        <v>0</v>
      </c>
      <c r="AM9" s="18">
        <f>'Emission Factors'!AZ7</f>
        <v>1.2823004806850746E-4</v>
      </c>
      <c r="AN9" s="18">
        <f>'Emission Factors'!BA7</f>
        <v>0</v>
      </c>
      <c r="AO9" s="18">
        <f>'Emission Factors'!BB7</f>
        <v>3.6179192133614608E-4</v>
      </c>
      <c r="AP9" s="18">
        <f>'Emission Factors'!BC7</f>
        <v>0</v>
      </c>
      <c r="AQ9" s="18">
        <f>'Emission Factors'!BD7</f>
        <v>0</v>
      </c>
      <c r="AR9" s="18">
        <f>'Emission Factors'!BE7</f>
        <v>0</v>
      </c>
      <c r="AS9" s="18">
        <f>'Emission Factors'!BF7</f>
        <v>6.3759377248433008E-4</v>
      </c>
      <c r="AT9" s="18">
        <f>'Emission Factors'!BG7</f>
        <v>0</v>
      </c>
      <c r="AU9" s="18">
        <f>'Emission Factors'!BH7</f>
        <v>1.0876655862953758E-3</v>
      </c>
      <c r="AV9" s="18">
        <f>'Emission Factors'!BI7</f>
        <v>0</v>
      </c>
      <c r="AW9" s="18">
        <f>'Emission Factors'!BJ7</f>
        <v>1.3189376372760768E-3</v>
      </c>
      <c r="AX9" s="18">
        <f>'Emission Factors'!BK7</f>
        <v>3.5715742691280804E-4</v>
      </c>
      <c r="AY9" s="18">
        <f>'Emission Factors'!BL7</f>
        <v>0</v>
      </c>
      <c r="AZ9" s="18">
        <f>'Emission Factors'!BM7</f>
        <v>1.7389272465058437E-4</v>
      </c>
    </row>
    <row r="10" spans="1:52">
      <c r="A10" s="65">
        <f>'Emission Factors'!A8</f>
        <v>44313</v>
      </c>
      <c r="B10" s="96">
        <f>'Emission Factors'!E8</f>
        <v>44313.392361111109</v>
      </c>
      <c r="C10" s="65" t="str">
        <f>'Filter Weights'!E8</f>
        <v>20210427-LF</v>
      </c>
      <c r="D10" s="65" t="str">
        <f>CONCATENATE('Emission Factors'!C8," ",'Emission Factors'!D8)</f>
        <v>Wet spruce Low</v>
      </c>
      <c r="E10" s="9">
        <f>'Phase Parameters'!R8</f>
        <v>26.437799999999999</v>
      </c>
      <c r="F10" s="2">
        <f>('Phase CEMS VOC Concentration'!J8-Backgrounds!J8)/('Phase CEMS VOC Concentration'!J8 - Backgrounds!J8+ 'Phase CEMS VOC Concentration'!K8 - Backgrounds!L8)</f>
        <v>0.9716618838846045</v>
      </c>
      <c r="G10" s="25">
        <f>'Phase CEMS VOC Concentration'!J8</f>
        <v>1026.22</v>
      </c>
      <c r="H10" s="9">
        <f>'Phase CEMS VOC Concentration'!K8</f>
        <v>16.2255</v>
      </c>
      <c r="I10" s="9">
        <f>'Phase CEMS VOC Concentration'!L8</f>
        <v>41.438800000000001</v>
      </c>
      <c r="J10" s="9">
        <f>'Filter Weights'!CY8</f>
        <v>3.7012220633565023</v>
      </c>
      <c r="K10" s="9">
        <f>'Filter Weights'!EL8</f>
        <v>1.9023359073181845</v>
      </c>
      <c r="L10" s="9">
        <f>'Emission Factors'!Y8</f>
        <v>6.3653354217634019</v>
      </c>
      <c r="M10" s="2">
        <f>'Emission Factors'!Z8</f>
        <v>3.2716237847030576</v>
      </c>
      <c r="N10" s="2">
        <f>'Emission Factors'!AA8</f>
        <v>6.8126082253559428E-2</v>
      </c>
      <c r="O10" s="18">
        <f>'Emission Factors'!AB8</f>
        <v>3.0211402724419141E-4</v>
      </c>
      <c r="P10" s="18">
        <f>'Emission Factors'!AC8</f>
        <v>3.6046726120379921E-4</v>
      </c>
      <c r="Q10" s="18">
        <f>'Emission Factors'!AD8</f>
        <v>0</v>
      </c>
      <c r="R10" s="18">
        <f>'Emission Factors'!AE8</f>
        <v>0</v>
      </c>
      <c r="S10" s="18">
        <f>'Emission Factors'!AF8</f>
        <v>1.422765475195779E-4</v>
      </c>
      <c r="T10" s="18">
        <f>'Emission Factors'!AG8</f>
        <v>8.0351197326490199E-3</v>
      </c>
      <c r="U10" s="18">
        <f>'Emission Factors'!AH8</f>
        <v>6.9614001444610642E-3</v>
      </c>
      <c r="V10" s="18">
        <f>'Emission Factors'!AI8</f>
        <v>1.3493192425829153E-2</v>
      </c>
      <c r="W10" s="18">
        <f>'Emission Factors'!AJ8</f>
        <v>4.0824579578997502E-3</v>
      </c>
      <c r="X10" s="18">
        <f>'Emission Factors'!AK8</f>
        <v>2.2337441184773762E-5</v>
      </c>
      <c r="Y10" s="18">
        <f>'Emission Factors'!AL8</f>
        <v>0</v>
      </c>
      <c r="Z10" s="18">
        <f>'Emission Factors'!AM8</f>
        <v>0</v>
      </c>
      <c r="AA10" s="18">
        <f>'Emission Factors'!AN8</f>
        <v>0</v>
      </c>
      <c r="AB10" s="18">
        <f>'Emission Factors'!AO8</f>
        <v>0</v>
      </c>
      <c r="AC10" s="18">
        <f>'Emission Factors'!AP8</f>
        <v>0</v>
      </c>
      <c r="AD10" s="18">
        <f>'Emission Factors'!AQ8</f>
        <v>0</v>
      </c>
      <c r="AE10" s="18">
        <f>'Emission Factors'!AR8</f>
        <v>0</v>
      </c>
      <c r="AF10" s="18">
        <f>'Emission Factors'!AS8</f>
        <v>8.0160541030452727E-4</v>
      </c>
      <c r="AG10" s="18">
        <f>'Emission Factors'!AT8</f>
        <v>0</v>
      </c>
      <c r="AH10" s="18">
        <f>'Emission Factors'!AU8</f>
        <v>4.9440646798526082E-6</v>
      </c>
      <c r="AI10" s="18">
        <f>'Emission Factors'!AV8</f>
        <v>0</v>
      </c>
      <c r="AJ10" s="18">
        <f>'Emission Factors'!AW8</f>
        <v>1.5281654464998968E-5</v>
      </c>
      <c r="AK10" s="18">
        <f>'Emission Factors'!AX8</f>
        <v>2.217318555012843E-5</v>
      </c>
      <c r="AL10" s="18">
        <f>'Emission Factors'!AY8</f>
        <v>6.112661785999587E-5</v>
      </c>
      <c r="AM10" s="18">
        <f>'Emission Factors'!AZ8</f>
        <v>0</v>
      </c>
      <c r="AN10" s="18">
        <f>'Emission Factors'!BA8</f>
        <v>0</v>
      </c>
      <c r="AO10" s="18">
        <f>'Emission Factors'!BB8</f>
        <v>0</v>
      </c>
      <c r="AP10" s="18">
        <f>'Emission Factors'!BC8</f>
        <v>0</v>
      </c>
      <c r="AQ10" s="18">
        <f>'Emission Factors'!BD8</f>
        <v>9.1240466364552662E-5</v>
      </c>
      <c r="AR10" s="18">
        <f>'Emission Factors'!BE8</f>
        <v>0</v>
      </c>
      <c r="AS10" s="18">
        <f>'Emission Factors'!BF8</f>
        <v>2.8681769076151692E-4</v>
      </c>
      <c r="AT10" s="18">
        <f>'Emission Factors'!BG8</f>
        <v>6.6070682539848475E-5</v>
      </c>
      <c r="AU10" s="18">
        <f>'Emission Factors'!BH8</f>
        <v>6.112661785999587E-5</v>
      </c>
      <c r="AV10" s="18">
        <f>'Emission Factors'!BI8</f>
        <v>5.0789028074849511E-5</v>
      </c>
      <c r="AW10" s="18">
        <f>'Emission Factors'!BJ8</f>
        <v>0</v>
      </c>
      <c r="AX10" s="18">
        <f>'Emission Factors'!BK8</f>
        <v>0</v>
      </c>
      <c r="AY10" s="18">
        <f>'Emission Factors'!BL8</f>
        <v>6.112661785999587E-5</v>
      </c>
      <c r="AZ10" s="18">
        <f>'Emission Factors'!BM8</f>
        <v>0</v>
      </c>
    </row>
    <row r="11" spans="1:52">
      <c r="A11" s="65">
        <f>'Emission Factors'!A9</f>
        <v>44314</v>
      </c>
      <c r="B11" s="96">
        <f>'Emission Factors'!E9</f>
        <v>44314.347222222219</v>
      </c>
      <c r="C11" s="65" t="str">
        <f>'Filter Weights'!E9</f>
        <v>20210428-K</v>
      </c>
      <c r="D11" s="65" t="str">
        <f>CONCATENATE('Emission Factors'!C9," ",'Emission Factors'!D9)</f>
        <v>Wet spruce Startup</v>
      </c>
      <c r="E11" s="9">
        <f>'Phase Parameters'!R9</f>
        <v>28.413599999999999</v>
      </c>
      <c r="F11" s="2">
        <f>('Phase CEMS VOC Concentration'!J9-Backgrounds!J9)/('Phase CEMS VOC Concentration'!J9 - Backgrounds!J9+ 'Phase CEMS VOC Concentration'!K9 - Backgrounds!L9)</f>
        <v>0.92751217691135446</v>
      </c>
      <c r="G11" s="25">
        <f>'Phase CEMS VOC Concentration'!J9</f>
        <v>2110.34</v>
      </c>
      <c r="H11" s="9">
        <f>'Phase CEMS VOC Concentration'!K9</f>
        <v>129.34299999999999</v>
      </c>
      <c r="I11" s="9">
        <f>'Phase CEMS VOC Concentration'!L9</f>
        <v>102.325</v>
      </c>
      <c r="J11" s="9">
        <f>'Filter Weights'!CY9</f>
        <v>30.215459569406537</v>
      </c>
      <c r="K11" s="9">
        <f>'Filter Weights'!EL9</f>
        <v>16.862957797092083</v>
      </c>
      <c r="L11" s="9">
        <f>'Emission Factors'!Y9</f>
        <v>17.014277861767891</v>
      </c>
      <c r="M11" s="2">
        <f>'Emission Factors'!Z9</f>
        <v>9.4955050699109815</v>
      </c>
      <c r="N11" s="2">
        <f>'Emission Factors'!AA9</f>
        <v>0.4488061208993071</v>
      </c>
      <c r="O11" s="18">
        <f>'Emission Factors'!AB9</f>
        <v>0</v>
      </c>
      <c r="P11" s="18">
        <f>'Emission Factors'!AC9</f>
        <v>0</v>
      </c>
      <c r="Q11" s="18">
        <f>'Emission Factors'!AD9</f>
        <v>0</v>
      </c>
      <c r="R11" s="18">
        <f>'Emission Factors'!AE9</f>
        <v>9.8485365629639738E-4</v>
      </c>
      <c r="S11" s="18">
        <f>'Emission Factors'!AF9</f>
        <v>0</v>
      </c>
      <c r="T11" s="18">
        <f>'Emission Factors'!AG9</f>
        <v>1.5427780900415407E-2</v>
      </c>
      <c r="U11" s="18">
        <f>'Emission Factors'!AH9</f>
        <v>2.062893792061234E-2</v>
      </c>
      <c r="V11" s="18">
        <f>'Emission Factors'!AI9</f>
        <v>1.3972316764900673E-2</v>
      </c>
      <c r="W11" s="18">
        <f>'Emission Factors'!AJ9</f>
        <v>2.5190266696089778E-3</v>
      </c>
      <c r="X11" s="18">
        <f>'Emission Factors'!AK9</f>
        <v>4.3016811143528486E-4</v>
      </c>
      <c r="Y11" s="18">
        <f>'Emission Factors'!AL9</f>
        <v>0</v>
      </c>
      <c r="Z11" s="18">
        <f>'Emission Factors'!AM9</f>
        <v>0</v>
      </c>
      <c r="AA11" s="18">
        <f>'Emission Factors'!AN9</f>
        <v>5.3005890029529262E-5</v>
      </c>
      <c r="AB11" s="18">
        <f>'Emission Factors'!AO9</f>
        <v>1.6782033148770805E-4</v>
      </c>
      <c r="AC11" s="18">
        <f>'Emission Factors'!AP9</f>
        <v>0</v>
      </c>
      <c r="AD11" s="18">
        <f>'Emission Factors'!AQ9</f>
        <v>0</v>
      </c>
      <c r="AE11" s="18">
        <f>'Emission Factors'!AR9</f>
        <v>7.1877361453076782E-5</v>
      </c>
      <c r="AF11" s="18">
        <f>'Emission Factors'!AS9</f>
        <v>4.0567580538562482E-3</v>
      </c>
      <c r="AG11" s="18">
        <f>'Emission Factors'!AT9</f>
        <v>2.2032019790504466E-5</v>
      </c>
      <c r="AH11" s="18">
        <f>'Emission Factors'!AU9</f>
        <v>0</v>
      </c>
      <c r="AI11" s="18">
        <f>'Emission Factors'!AV9</f>
        <v>0</v>
      </c>
      <c r="AJ11" s="18">
        <f>'Emission Factors'!AW9</f>
        <v>1.261847012176237E-4</v>
      </c>
      <c r="AK11" s="18">
        <f>'Emission Factors'!AX9</f>
        <v>0</v>
      </c>
      <c r="AL11" s="18">
        <f>'Emission Factors'!AY9</f>
        <v>0</v>
      </c>
      <c r="AM11" s="18">
        <f>'Emission Factors'!AZ9</f>
        <v>0</v>
      </c>
      <c r="AN11" s="18">
        <f>'Emission Factors'!BA9</f>
        <v>1.1822180666175175E-4</v>
      </c>
      <c r="AO11" s="18">
        <f>'Emission Factors'!BB9</f>
        <v>0</v>
      </c>
      <c r="AP11" s="18">
        <f>'Emission Factors'!BC9</f>
        <v>0</v>
      </c>
      <c r="AQ11" s="18">
        <f>'Emission Factors'!BD9</f>
        <v>7.1877361453076782E-5</v>
      </c>
      <c r="AR11" s="18">
        <f>'Emission Factors'!BE9</f>
        <v>0</v>
      </c>
      <c r="AS11" s="18">
        <f>'Emission Factors'!BF9</f>
        <v>3.1499575403664935E-4</v>
      </c>
      <c r="AT11" s="18">
        <f>'Emission Factors'!BG9</f>
        <v>0</v>
      </c>
      <c r="AU11" s="18">
        <f>'Emission Factors'!BH9</f>
        <v>0</v>
      </c>
      <c r="AV11" s="18">
        <f>'Emission Factors'!BI9</f>
        <v>0</v>
      </c>
      <c r="AW11" s="18">
        <f>'Emission Factors'!BJ9</f>
        <v>0</v>
      </c>
      <c r="AX11" s="18">
        <f>'Emission Factors'!BK9</f>
        <v>7.3426862304347342E-4</v>
      </c>
      <c r="AY11" s="18">
        <f>'Emission Factors'!BL9</f>
        <v>0</v>
      </c>
      <c r="AZ11" s="18">
        <f>'Emission Factors'!BM9</f>
        <v>2.8114382595539254E-4</v>
      </c>
    </row>
    <row r="12" spans="1:52">
      <c r="A12" s="65">
        <f>'Emission Factors'!A10</f>
        <v>44314</v>
      </c>
      <c r="B12" s="96">
        <f>'Emission Factors'!E10</f>
        <v>44314.374305555553</v>
      </c>
      <c r="C12" s="65" t="str">
        <f>'Filter Weights'!E10</f>
        <v>20210428-LF</v>
      </c>
      <c r="D12" s="65" t="str">
        <f>CONCATENATE('Emission Factors'!C10," ",'Emission Factors'!D10)</f>
        <v>Wet spruce Low</v>
      </c>
      <c r="E12" s="9">
        <f>'Phase Parameters'!R10</f>
        <v>26.5718</v>
      </c>
      <c r="F12" s="2">
        <f>('Phase CEMS VOC Concentration'!J10-Backgrounds!J10)/('Phase CEMS VOC Concentration'!J10 - Backgrounds!J10+ 'Phase CEMS VOC Concentration'!K10 - Backgrounds!L10)</f>
        <v>0.97458867879255662</v>
      </c>
      <c r="G12" s="25">
        <f>'Phase CEMS VOC Concentration'!J10</f>
        <v>1071.55</v>
      </c>
      <c r="H12" s="9">
        <f>'Phase CEMS VOC Concentration'!K10</f>
        <v>16.0595</v>
      </c>
      <c r="I12" s="9">
        <f>'Phase CEMS VOC Concentration'!L10</f>
        <v>34.7819</v>
      </c>
      <c r="J12" s="9">
        <f>'Filter Weights'!CY10</f>
        <v>1.8930613103945104</v>
      </c>
      <c r="K12" s="9">
        <f>'Filter Weights'!EL10</f>
        <v>0.91516414256396839</v>
      </c>
      <c r="L12" s="9">
        <f>'Emission Factors'!Y10</f>
        <v>2.952015832902247</v>
      </c>
      <c r="M12" s="2">
        <f>'Emission Factors'!Z10</f>
        <v>1.4270953738895229</v>
      </c>
      <c r="N12" s="2">
        <f>'Emission Factors'!AA10</f>
        <v>7.3461960484302619E-2</v>
      </c>
      <c r="O12" s="18">
        <f>'Emission Factors'!AB10</f>
        <v>0</v>
      </c>
      <c r="P12" s="18">
        <f>'Emission Factors'!AC10</f>
        <v>0</v>
      </c>
      <c r="Q12" s="18">
        <f>'Emission Factors'!AD10</f>
        <v>0</v>
      </c>
      <c r="R12" s="18">
        <f>'Emission Factors'!AE10</f>
        <v>0</v>
      </c>
      <c r="S12" s="18">
        <f>'Emission Factors'!AF10</f>
        <v>5.8919405733859273E-5</v>
      </c>
      <c r="T12" s="18">
        <f>'Emission Factors'!AG10</f>
        <v>5.5876049611146162E-3</v>
      </c>
      <c r="U12" s="18">
        <f>'Emission Factors'!AH10</f>
        <v>9.5708732924410424E-3</v>
      </c>
      <c r="V12" s="18">
        <f>'Emission Factors'!AI10</f>
        <v>1.6314608113899714E-2</v>
      </c>
      <c r="W12" s="18">
        <f>'Emission Factors'!AJ10</f>
        <v>9.8262761599552198E-4</v>
      </c>
      <c r="X12" s="18">
        <f>'Emission Factors'!AK10</f>
        <v>0</v>
      </c>
      <c r="Y12" s="18">
        <f>'Emission Factors'!AL10</f>
        <v>0</v>
      </c>
      <c r="Z12" s="18">
        <f>'Emission Factors'!AM10</f>
        <v>0</v>
      </c>
      <c r="AA12" s="18">
        <f>'Emission Factors'!AN10</f>
        <v>1.6307882970856754E-5</v>
      </c>
      <c r="AB12" s="18">
        <f>'Emission Factors'!AO10</f>
        <v>0</v>
      </c>
      <c r="AC12" s="18">
        <f>'Emission Factors'!AP10</f>
        <v>0</v>
      </c>
      <c r="AD12" s="18">
        <f>'Emission Factors'!AQ10</f>
        <v>0</v>
      </c>
      <c r="AE12" s="18">
        <f>'Emission Factors'!AR10</f>
        <v>2.2587306924316883E-5</v>
      </c>
      <c r="AF12" s="18">
        <f>'Emission Factors'!AS10</f>
        <v>1.2010153377203941E-3</v>
      </c>
      <c r="AG12" s="18">
        <f>'Emission Factors'!AT10</f>
        <v>0</v>
      </c>
      <c r="AH12" s="18">
        <f>'Emission Factors'!AU10</f>
        <v>0</v>
      </c>
      <c r="AI12" s="18">
        <f>'Emission Factors'!AV10</f>
        <v>0</v>
      </c>
      <c r="AJ12" s="18">
        <f>'Emission Factors'!AW10</f>
        <v>0</v>
      </c>
      <c r="AK12" s="18">
        <f>'Emission Factors'!AX10</f>
        <v>6.0961036073636531E-5</v>
      </c>
      <c r="AL12" s="18">
        <f>'Emission Factors'!AY10</f>
        <v>9.1155917230278835E-5</v>
      </c>
      <c r="AM12" s="18">
        <f>'Emission Factors'!AZ10</f>
        <v>1.8150514492754637E-5</v>
      </c>
      <c r="AN12" s="18">
        <f>'Emission Factors'!BA10</f>
        <v>0</v>
      </c>
      <c r="AO12" s="18">
        <f>'Emission Factors'!BB10</f>
        <v>0</v>
      </c>
      <c r="AP12" s="18">
        <f>'Emission Factors'!BC10</f>
        <v>0</v>
      </c>
      <c r="AQ12" s="18">
        <f>'Emission Factors'!BD10</f>
        <v>0</v>
      </c>
      <c r="AR12" s="18">
        <f>'Emission Factors'!BE10</f>
        <v>0</v>
      </c>
      <c r="AS12" s="18">
        <f>'Emission Factors'!BF10</f>
        <v>8.8124421434767087E-5</v>
      </c>
      <c r="AT12" s="18">
        <f>'Emission Factors'!BG10</f>
        <v>3.327594323671684E-4</v>
      </c>
      <c r="AU12" s="18">
        <f>'Emission Factors'!BH10</f>
        <v>0</v>
      </c>
      <c r="AV12" s="18">
        <f>'Emission Factors'!BI10</f>
        <v>0</v>
      </c>
      <c r="AW12" s="18">
        <f>'Emission Factors'!BJ10</f>
        <v>1.2745694621578814E-4</v>
      </c>
      <c r="AX12" s="18">
        <f>'Emission Factors'!BK10</f>
        <v>0</v>
      </c>
      <c r="AY12" s="18">
        <f>'Emission Factors'!BL10</f>
        <v>0</v>
      </c>
      <c r="AZ12" s="18">
        <f>'Emission Factors'!BM10</f>
        <v>0</v>
      </c>
    </row>
    <row r="13" spans="1:52">
      <c r="A13" s="65">
        <f>'Emission Factors'!A11</f>
        <v>44315</v>
      </c>
      <c r="B13" s="96">
        <f>'Emission Factors'!E11</f>
        <v>44315.34375</v>
      </c>
      <c r="C13" s="65" t="str">
        <f>'Filter Weights'!E11</f>
        <v>20210429-K</v>
      </c>
      <c r="D13" s="65" t="str">
        <f>CONCATENATE('Emission Factors'!C11," ",'Emission Factors'!D11)</f>
        <v>Wet spruce Startup</v>
      </c>
      <c r="E13" s="9">
        <f>'Phase Parameters'!R11</f>
        <v>32.406700000000001</v>
      </c>
      <c r="F13" s="2">
        <f>('Phase CEMS VOC Concentration'!J11-Backgrounds!J11)/('Phase CEMS VOC Concentration'!J11 - Backgrounds!J11+ 'Phase CEMS VOC Concentration'!K11 - Backgrounds!L11)</f>
        <v>0.9356254504961653</v>
      </c>
      <c r="G13" s="25">
        <f>'Phase CEMS VOC Concentration'!J11</f>
        <v>2960.46</v>
      </c>
      <c r="H13" s="9">
        <f>'Phase CEMS VOC Concentration'!K11</f>
        <v>172.25399999999999</v>
      </c>
      <c r="I13" s="9">
        <f>'Phase CEMS VOC Concentration'!L11</f>
        <v>87.4602</v>
      </c>
      <c r="J13" s="9">
        <f>'Filter Weights'!CY11</f>
        <v>20.408923269462424</v>
      </c>
      <c r="K13" s="9">
        <f>'Filter Weights'!EL11</f>
        <v>9.8804728758286107</v>
      </c>
      <c r="L13" s="9">
        <f>'Emission Factors'!Y11</f>
        <v>7.9729471326941326</v>
      </c>
      <c r="M13" s="2">
        <f>'Emission Factors'!Z11</f>
        <v>3.8599041627478696</v>
      </c>
      <c r="N13" s="2">
        <f>'Emission Factors'!AA11</f>
        <v>0.34629694156743079</v>
      </c>
      <c r="O13" s="18">
        <f>'Emission Factors'!AB11</f>
        <v>1.378677519785567E-2</v>
      </c>
      <c r="P13" s="18">
        <f>'Emission Factors'!AC11</f>
        <v>0</v>
      </c>
      <c r="Q13" s="18">
        <f>'Emission Factors'!AD11</f>
        <v>0</v>
      </c>
      <c r="R13" s="18">
        <f>'Emission Factors'!AE11</f>
        <v>2.2507263808040846E-3</v>
      </c>
      <c r="S13" s="18">
        <f>'Emission Factors'!AF11</f>
        <v>0</v>
      </c>
      <c r="T13" s="18">
        <f>'Emission Factors'!AG11</f>
        <v>1.3646048516465276E-2</v>
      </c>
      <c r="U13" s="18">
        <f>'Emission Factors'!AH11</f>
        <v>1.531567302178821E-2</v>
      </c>
      <c r="V13" s="18">
        <f>'Emission Factors'!AI11</f>
        <v>1.48039908706586E-2</v>
      </c>
      <c r="W13" s="18">
        <f>'Emission Factors'!AJ11</f>
        <v>4.8668781454776289E-3</v>
      </c>
      <c r="X13" s="18">
        <f>'Emission Factors'!AK11</f>
        <v>0</v>
      </c>
      <c r="Y13" s="18">
        <f>'Emission Factors'!AL11</f>
        <v>0</v>
      </c>
      <c r="Z13" s="18">
        <f>'Emission Factors'!AM11</f>
        <v>0</v>
      </c>
      <c r="AA13" s="18">
        <f>'Emission Factors'!AN11</f>
        <v>1.0749035883951049E-4</v>
      </c>
      <c r="AB13" s="18">
        <f>'Emission Factors'!AO11</f>
        <v>5.5290835290038975E-4</v>
      </c>
      <c r="AC13" s="18">
        <f>'Emission Factors'!AP11</f>
        <v>0</v>
      </c>
      <c r="AD13" s="18">
        <f>'Emission Factors'!AQ11</f>
        <v>0</v>
      </c>
      <c r="AE13" s="18">
        <f>'Emission Factors'!AR11</f>
        <v>0</v>
      </c>
      <c r="AF13" s="18">
        <f>'Emission Factors'!AS11</f>
        <v>3.2987410822917841E-3</v>
      </c>
      <c r="AG13" s="18">
        <f>'Emission Factors'!AT11</f>
        <v>0</v>
      </c>
      <c r="AH13" s="18">
        <f>'Emission Factors'!AU11</f>
        <v>0</v>
      </c>
      <c r="AI13" s="18">
        <f>'Emission Factors'!AV11</f>
        <v>3.6145000122796061E-5</v>
      </c>
      <c r="AJ13" s="18">
        <f>'Emission Factors'!AW11</f>
        <v>1.9506039262752388E-5</v>
      </c>
      <c r="AK13" s="18">
        <f>'Emission Factors'!AX11</f>
        <v>5.8385534119077801E-5</v>
      </c>
      <c r="AL13" s="18">
        <f>'Emission Factors'!AY11</f>
        <v>1.9506039262752388E-5</v>
      </c>
      <c r="AM13" s="18">
        <f>'Emission Factors'!AZ11</f>
        <v>1.9506039262752388E-5</v>
      </c>
      <c r="AN13" s="18">
        <f>'Emission Factors'!BA11</f>
        <v>2.1436185667314639E-4</v>
      </c>
      <c r="AO13" s="18">
        <f>'Emission Factors'!BB11</f>
        <v>0</v>
      </c>
      <c r="AP13" s="18">
        <f>'Emission Factors'!BC11</f>
        <v>0</v>
      </c>
      <c r="AQ13" s="18">
        <f>'Emission Factors'!BD11</f>
        <v>0</v>
      </c>
      <c r="AR13" s="18">
        <f>'Emission Factors'!BE11</f>
        <v>0</v>
      </c>
      <c r="AS13" s="18">
        <f>'Emission Factors'!BF11</f>
        <v>4.3512774014433866E-4</v>
      </c>
      <c r="AT13" s="18">
        <f>'Emission Factors'!BG11</f>
        <v>8.6181228015433267E-4</v>
      </c>
      <c r="AU13" s="18">
        <f>'Emission Factors'!BH11</f>
        <v>2.41165576339484E-4</v>
      </c>
      <c r="AV13" s="18">
        <f>'Emission Factors'!BI11</f>
        <v>0</v>
      </c>
      <c r="AW13" s="18">
        <f>'Emission Factors'!BJ11</f>
        <v>0</v>
      </c>
      <c r="AX13" s="18">
        <f>'Emission Factors'!BK11</f>
        <v>0</v>
      </c>
      <c r="AY13" s="18">
        <f>'Emission Factors'!BL11</f>
        <v>7.9797433347623378E-5</v>
      </c>
      <c r="AZ13" s="18">
        <f>'Emission Factors'!BM11</f>
        <v>1.94855817410394E-4</v>
      </c>
    </row>
    <row r="14" spans="1:52">
      <c r="A14" s="65">
        <f>'Emission Factors'!A12</f>
        <v>44315</v>
      </c>
      <c r="B14" s="96">
        <f>'Emission Factors'!E12</f>
        <v>44315.361111111109</v>
      </c>
      <c r="C14" s="65" t="str">
        <f>'Filter Weights'!E12</f>
        <v>20210429-LF</v>
      </c>
      <c r="D14" s="65" t="str">
        <f>CONCATENATE('Emission Factors'!C12," ",'Emission Factors'!D12)</f>
        <v>Wet spruce Low</v>
      </c>
      <c r="E14" s="9">
        <f>'Phase Parameters'!R12</f>
        <v>25.843699999999998</v>
      </c>
      <c r="F14" s="2">
        <f>('Phase CEMS VOC Concentration'!J12-Backgrounds!J12)/('Phase CEMS VOC Concentration'!J12 - Backgrounds!J12+ 'Phase CEMS VOC Concentration'!K12 - Backgrounds!L12)</f>
        <v>0.94527980165059056</v>
      </c>
      <c r="G14" s="25">
        <f>'Phase CEMS VOC Concentration'!J12</f>
        <v>869.22299999999996</v>
      </c>
      <c r="H14" s="9">
        <f>'Phase CEMS VOC Concentration'!K12</f>
        <v>23.900300000000001</v>
      </c>
      <c r="I14" s="9">
        <f>'Phase CEMS VOC Concentration'!L12</f>
        <v>41.192100000000003</v>
      </c>
      <c r="J14" s="9">
        <f>'Filter Weights'!CY12</f>
        <v>5.8029201116581079</v>
      </c>
      <c r="K14" s="9">
        <f>'Filter Weights'!EL12</f>
        <v>2.9009244976903821</v>
      </c>
      <c r="L14" s="9">
        <f>'Emission Factors'!Y12</f>
        <v>12.71812459328754</v>
      </c>
      <c r="M14" s="2">
        <f>'Emission Factors'!Z12</f>
        <v>6.3578885263688889</v>
      </c>
      <c r="N14" s="2">
        <f>'Emission Factors'!AA12</f>
        <v>5.6986340965304319E-2</v>
      </c>
      <c r="O14" s="18">
        <f>'Emission Factors'!AB12</f>
        <v>0</v>
      </c>
      <c r="P14" s="18">
        <f>'Emission Factors'!AC12</f>
        <v>0</v>
      </c>
      <c r="Q14" s="18">
        <f>'Emission Factors'!AD12</f>
        <v>2.2589854602760904E-4</v>
      </c>
      <c r="R14" s="18">
        <f>'Emission Factors'!AE12</f>
        <v>1.2027019265523447E-4</v>
      </c>
      <c r="S14" s="18">
        <f>'Emission Factors'!AF12</f>
        <v>4.7771119749128901E-5</v>
      </c>
      <c r="T14" s="18">
        <f>'Emission Factors'!AG12</f>
        <v>3.8730219090908134E-3</v>
      </c>
      <c r="U14" s="18">
        <f>'Emission Factors'!AH12</f>
        <v>7.4600931489738108E-3</v>
      </c>
      <c r="V14" s="18">
        <f>'Emission Factors'!AI12</f>
        <v>1.2628917561857089E-2</v>
      </c>
      <c r="W14" s="18">
        <f>'Emission Factors'!AJ12</f>
        <v>1.8809821352296552E-3</v>
      </c>
      <c r="X14" s="18">
        <f>'Emission Factors'!AK12</f>
        <v>1.1836896346991323E-4</v>
      </c>
      <c r="Y14" s="18">
        <f>'Emission Factors'!AL12</f>
        <v>0</v>
      </c>
      <c r="Z14" s="18">
        <f>'Emission Factors'!AM12</f>
        <v>0</v>
      </c>
      <c r="AA14" s="18">
        <f>'Emission Factors'!AN12</f>
        <v>5.0915491256277373E-5</v>
      </c>
      <c r="AB14" s="18">
        <f>'Emission Factors'!AO12</f>
        <v>2.2502859641833673E-4</v>
      </c>
      <c r="AC14" s="18">
        <f>'Emission Factors'!AP12</f>
        <v>0</v>
      </c>
      <c r="AD14" s="18">
        <f>'Emission Factors'!AQ12</f>
        <v>0</v>
      </c>
      <c r="AE14" s="18">
        <f>'Emission Factors'!AR12</f>
        <v>5.5455238736019536E-5</v>
      </c>
      <c r="AF14" s="18">
        <f>'Emission Factors'!AS12</f>
        <v>1.2994417726328116E-3</v>
      </c>
      <c r="AG14" s="18">
        <f>'Emission Factors'!AT12</f>
        <v>0</v>
      </c>
      <c r="AH14" s="18">
        <f>'Emission Factors'!AU12</f>
        <v>1.8349159875888817E-5</v>
      </c>
      <c r="AI14" s="18">
        <f>'Emission Factors'!AV12</f>
        <v>0</v>
      </c>
      <c r="AJ14" s="18">
        <f>'Emission Factors'!AW12</f>
        <v>2.7727619368009768E-5</v>
      </c>
      <c r="AK14" s="18">
        <f>'Emission Factors'!AX12</f>
        <v>3.0899189519087391E-5</v>
      </c>
      <c r="AL14" s="18">
        <f>'Emission Factors'!AY12</f>
        <v>6.9319048420024424E-5</v>
      </c>
      <c r="AM14" s="18">
        <f>'Emission Factors'!AZ12</f>
        <v>6.4425939119787422E-5</v>
      </c>
      <c r="AN14" s="18">
        <f>'Emission Factors'!BA12</f>
        <v>0</v>
      </c>
      <c r="AO14" s="18">
        <f>'Emission Factors'!BB12</f>
        <v>4.1591429052014663E-5</v>
      </c>
      <c r="AP14" s="18">
        <f>'Emission Factors'!BC12</f>
        <v>0</v>
      </c>
      <c r="AQ14" s="18">
        <f>'Emission Factors'!BD12</f>
        <v>0</v>
      </c>
      <c r="AR14" s="18">
        <f>'Emission Factors'!BE12</f>
        <v>8.2775098995676246E-5</v>
      </c>
      <c r="AS14" s="18">
        <f>'Emission Factors'!BF12</f>
        <v>0</v>
      </c>
      <c r="AT14" s="18">
        <f>'Emission Factors'!BG12</f>
        <v>0</v>
      </c>
      <c r="AU14" s="18">
        <f>'Emission Factors'!BH12</f>
        <v>5.1622303117500551E-4</v>
      </c>
      <c r="AV14" s="18">
        <f>'Emission Factors'!BI12</f>
        <v>1.8430711697559434E-4</v>
      </c>
      <c r="AW14" s="18">
        <f>'Emission Factors'!BJ12</f>
        <v>0</v>
      </c>
      <c r="AX14" s="18">
        <f>'Emission Factors'!BK12</f>
        <v>0</v>
      </c>
      <c r="AY14" s="18">
        <f>'Emission Factors'!BL12</f>
        <v>0</v>
      </c>
      <c r="AZ14" s="18">
        <f>'Emission Factors'!BM12</f>
        <v>0</v>
      </c>
    </row>
    <row r="15" spans="1:52">
      <c r="A15" s="65">
        <f>'Emission Factors'!A13</f>
        <v>44326</v>
      </c>
      <c r="B15" s="96">
        <f>'Emission Factors'!E13</f>
        <v>44326.392361111109</v>
      </c>
      <c r="C15" s="65" t="str">
        <f>'Filter Weights'!E13</f>
        <v>20210510-K</v>
      </c>
      <c r="D15" s="65" t="str">
        <f>CONCATENATE('Emission Factors'!C13," ",'Emission Factors'!D13)</f>
        <v>Wet spruce Startup</v>
      </c>
      <c r="E15" s="9">
        <f>'Phase Parameters'!R13</f>
        <v>30.000699999999998</v>
      </c>
      <c r="F15" s="2">
        <f>('Phase CEMS VOC Concentration'!J13-Backgrounds!J13)/('Phase CEMS VOC Concentration'!J13 - Backgrounds!J13+ 'Phase CEMS VOC Concentration'!K13 - Backgrounds!L13)</f>
        <v>0.93461452023392433</v>
      </c>
      <c r="G15" s="25">
        <f>'Phase CEMS VOC Concentration'!J13</f>
        <v>2196.7399999999998</v>
      </c>
      <c r="H15" s="9">
        <f>'Phase CEMS VOC Concentration'!K13</f>
        <v>122.55</v>
      </c>
      <c r="I15" s="9">
        <f>'Phase CEMS VOC Concentration'!L13</f>
        <v>88.530100000000004</v>
      </c>
      <c r="J15" s="9">
        <f>'Filter Weights'!CY13</f>
        <v>24.070333235224926</v>
      </c>
      <c r="K15" s="9">
        <f>'Filter Weights'!EL13</f>
        <v>12.252957160987533</v>
      </c>
      <c r="L15" s="9">
        <f>'Emission Factors'!Y13</f>
        <v>13.046095382667385</v>
      </c>
      <c r="M15" s="2">
        <f>'Emission Factors'!Z13</f>
        <v>6.6410899375522074</v>
      </c>
      <c r="N15" s="2">
        <f>'Emission Factors'!AA13</f>
        <v>0.33918128744010811</v>
      </c>
      <c r="O15" s="18">
        <f>'Emission Factors'!AB13</f>
        <v>7.8862605118050887E-3</v>
      </c>
      <c r="P15" s="18">
        <f>'Emission Factors'!AC13</f>
        <v>1.2140096674625897E-4</v>
      </c>
      <c r="Q15" s="18">
        <f>'Emission Factors'!AD13</f>
        <v>0</v>
      </c>
      <c r="R15" s="18">
        <f>'Emission Factors'!AE13</f>
        <v>0</v>
      </c>
      <c r="S15" s="18">
        <f>'Emission Factors'!AF13</f>
        <v>0</v>
      </c>
      <c r="T15" s="18">
        <f>'Emission Factors'!AG13</f>
        <v>1.2340274232168758E-2</v>
      </c>
      <c r="U15" s="18">
        <f>'Emission Factors'!AH13</f>
        <v>1.7825952758799953E-2</v>
      </c>
      <c r="V15" s="18">
        <f>'Emission Factors'!AI13</f>
        <v>1.9695128726210015E-2</v>
      </c>
      <c r="W15" s="18">
        <f>'Emission Factors'!AJ13</f>
        <v>3.8762343042317068E-3</v>
      </c>
      <c r="X15" s="18">
        <f>'Emission Factors'!AK13</f>
        <v>0</v>
      </c>
      <c r="Y15" s="18">
        <f>'Emission Factors'!AL13</f>
        <v>0</v>
      </c>
      <c r="Z15" s="18">
        <f>'Emission Factors'!AM13</f>
        <v>0</v>
      </c>
      <c r="AA15" s="18">
        <f>'Emission Factors'!AN13</f>
        <v>0</v>
      </c>
      <c r="AB15" s="18">
        <f>'Emission Factors'!AO13</f>
        <v>4.6077549872565666E-4</v>
      </c>
      <c r="AC15" s="18">
        <f>'Emission Factors'!AP13</f>
        <v>9.4910170551843953E-5</v>
      </c>
      <c r="AD15" s="18">
        <f>'Emission Factors'!AQ13</f>
        <v>0</v>
      </c>
      <c r="AE15" s="18">
        <f>'Emission Factors'!AR13</f>
        <v>0</v>
      </c>
      <c r="AF15" s="18">
        <f>'Emission Factors'!AS13</f>
        <v>3.1957253035033552E-3</v>
      </c>
      <c r="AG15" s="18">
        <f>'Emission Factors'!AT13</f>
        <v>0</v>
      </c>
      <c r="AH15" s="18">
        <f>'Emission Factors'!AU13</f>
        <v>0</v>
      </c>
      <c r="AI15" s="18">
        <f>'Emission Factors'!AV13</f>
        <v>0</v>
      </c>
      <c r="AJ15" s="18">
        <f>'Emission Factors'!AW13</f>
        <v>0</v>
      </c>
      <c r="AK15" s="18">
        <f>'Emission Factors'!AX13</f>
        <v>2.4232563017230122E-4</v>
      </c>
      <c r="AL15" s="18">
        <f>'Emission Factors'!AY13</f>
        <v>9.7554348278243804E-5</v>
      </c>
      <c r="AM15" s="18">
        <f>'Emission Factors'!AZ13</f>
        <v>0</v>
      </c>
      <c r="AN15" s="18">
        <f>'Emission Factors'!BA13</f>
        <v>1.137364444028211E-4</v>
      </c>
      <c r="AO15" s="18">
        <f>'Emission Factors'!BB13</f>
        <v>0</v>
      </c>
      <c r="AP15" s="18">
        <f>'Emission Factors'!BC13</f>
        <v>2.2112318943068594E-4</v>
      </c>
      <c r="AQ15" s="18">
        <f>'Emission Factors'!BD13</f>
        <v>1.9510869655648761E-4</v>
      </c>
      <c r="AR15" s="18">
        <f>'Emission Factors'!BE13</f>
        <v>2.2112318943068594E-4</v>
      </c>
      <c r="AS15" s="18">
        <f>'Emission Factors'!BF13</f>
        <v>0</v>
      </c>
      <c r="AT15" s="18">
        <f>'Emission Factors'!BG13</f>
        <v>0</v>
      </c>
      <c r="AU15" s="18">
        <f>'Emission Factors'!BH13</f>
        <v>0</v>
      </c>
      <c r="AV15" s="18">
        <f>'Emission Factors'!BI13</f>
        <v>0</v>
      </c>
      <c r="AW15" s="18">
        <f>'Emission Factors'!BJ13</f>
        <v>9.061715017845758E-4</v>
      </c>
      <c r="AX15" s="18">
        <f>'Emission Factors'!BK13</f>
        <v>6.7997620197955602E-4</v>
      </c>
      <c r="AY15" s="18">
        <f>'Emission Factors'!BL13</f>
        <v>0</v>
      </c>
      <c r="AZ15" s="18">
        <f>'Emission Factors'!BM13</f>
        <v>2.8716639689747674E-4</v>
      </c>
    </row>
    <row r="16" spans="1:52">
      <c r="A16" s="65">
        <f>'Emission Factors'!A14</f>
        <v>44326</v>
      </c>
      <c r="B16" s="96">
        <f>'Emission Factors'!E14</f>
        <v>44326.411805555559</v>
      </c>
      <c r="C16" s="65" t="str">
        <f>'Filter Weights'!E14</f>
        <v>20210510-HF</v>
      </c>
      <c r="D16" s="65" t="str">
        <f>CONCATENATE('Emission Factors'!C14," ",'Emission Factors'!D14)</f>
        <v>Wet spruce High</v>
      </c>
      <c r="E16" s="9">
        <f>'Phase Parameters'!R14</f>
        <v>27.154399999999999</v>
      </c>
      <c r="F16" s="2">
        <f>('Phase CEMS VOC Concentration'!J14-Backgrounds!J14)/('Phase CEMS VOC Concentration'!J14 - Backgrounds!J14+ 'Phase CEMS VOC Concentration'!K14 - Backgrounds!L14)</f>
        <v>0.96676196958098459</v>
      </c>
      <c r="G16" s="25">
        <f>'Phase CEMS VOC Concentration'!J14</f>
        <v>1308.45</v>
      </c>
      <c r="H16" s="9">
        <f>'Phase CEMS VOC Concentration'!K14</f>
        <v>29.339700000000001</v>
      </c>
      <c r="I16" s="9">
        <f>'Phase CEMS VOC Concentration'!L14</f>
        <v>57.589399999999998</v>
      </c>
      <c r="J16" s="9">
        <f>'Filter Weights'!CY14</f>
        <v>8.50703413296009</v>
      </c>
      <c r="K16" s="9">
        <f>'Filter Weights'!EL14</f>
        <v>4.2623602413699446</v>
      </c>
      <c r="L16" s="9">
        <f>'Emission Factors'!Y14</f>
        <v>9.2727613550863435</v>
      </c>
      <c r="M16" s="2">
        <f>'Emission Factors'!Z14</f>
        <v>4.6460198360435037</v>
      </c>
      <c r="N16" s="2">
        <f>'Emission Factors'!AA14</f>
        <v>5.6116827938813604E-2</v>
      </c>
      <c r="O16" s="18">
        <f>'Emission Factors'!AB14</f>
        <v>0</v>
      </c>
      <c r="P16" s="18">
        <f>'Emission Factors'!AC14</f>
        <v>0</v>
      </c>
      <c r="Q16" s="18">
        <f>'Emission Factors'!AD14</f>
        <v>0</v>
      </c>
      <c r="R16" s="18">
        <f>'Emission Factors'!AE14</f>
        <v>2.894874135355701E-4</v>
      </c>
      <c r="S16" s="18">
        <f>'Emission Factors'!AF14</f>
        <v>1.3217318708162609E-4</v>
      </c>
      <c r="T16" s="18">
        <f>'Emission Factors'!AG14</f>
        <v>5.976759120156128E-3</v>
      </c>
      <c r="U16" s="18">
        <f>'Emission Factors'!AH14</f>
        <v>6.2437795964734293E-3</v>
      </c>
      <c r="V16" s="18">
        <f>'Emission Factors'!AI14</f>
        <v>1.8794339519758344E-2</v>
      </c>
      <c r="W16" s="18">
        <f>'Emission Factors'!AJ14</f>
        <v>4.2942849736332094E-3</v>
      </c>
      <c r="X16" s="18">
        <f>'Emission Factors'!AK14</f>
        <v>0</v>
      </c>
      <c r="Y16" s="18">
        <f>'Emission Factors'!AL14</f>
        <v>0</v>
      </c>
      <c r="Z16" s="18">
        <f>'Emission Factors'!AM14</f>
        <v>6.673442465018884E-4</v>
      </c>
      <c r="AA16" s="18">
        <f>'Emission Factors'!AN14</f>
        <v>1.4500441051141605E-4</v>
      </c>
      <c r="AB16" s="18">
        <f>'Emission Factors'!AO14</f>
        <v>0</v>
      </c>
      <c r="AC16" s="18">
        <f>'Emission Factors'!AP14</f>
        <v>0</v>
      </c>
      <c r="AD16" s="18">
        <f>'Emission Factors'!AQ14</f>
        <v>1.0287979874664791E-5</v>
      </c>
      <c r="AE16" s="18">
        <f>'Emission Factors'!AR14</f>
        <v>0</v>
      </c>
      <c r="AF16" s="18">
        <f>'Emission Factors'!AS14</f>
        <v>1.2592280470556437E-3</v>
      </c>
      <c r="AG16" s="18">
        <f>'Emission Factors'!AT14</f>
        <v>0</v>
      </c>
      <c r="AH16" s="18">
        <f>'Emission Factors'!AU14</f>
        <v>0</v>
      </c>
      <c r="AI16" s="18">
        <f>'Emission Factors'!AV14</f>
        <v>0</v>
      </c>
      <c r="AJ16" s="18">
        <f>'Emission Factors'!AW14</f>
        <v>0</v>
      </c>
      <c r="AK16" s="18">
        <f>'Emission Factors'!AX14</f>
        <v>1.8779826999404654E-5</v>
      </c>
      <c r="AL16" s="18">
        <f>'Emission Factors'!AY14</f>
        <v>7.2828054609173345E-5</v>
      </c>
      <c r="AM16" s="18">
        <f>'Emission Factors'!AZ14</f>
        <v>2.4097518069211764E-5</v>
      </c>
      <c r="AN16" s="18">
        <f>'Emission Factors'!BA14</f>
        <v>0</v>
      </c>
      <c r="AO16" s="18">
        <f>'Emission Factors'!BB14</f>
        <v>0</v>
      </c>
      <c r="AP16" s="18">
        <f>'Emission Factors'!BC14</f>
        <v>0</v>
      </c>
      <c r="AQ16" s="18">
        <f>'Emission Factors'!BD14</f>
        <v>2.0563215419060706E-4</v>
      </c>
      <c r="AR16" s="18">
        <f>'Emission Factors'!BE14</f>
        <v>0</v>
      </c>
      <c r="AS16" s="18">
        <f>'Emission Factors'!BF14</f>
        <v>8.490854516961901E-5</v>
      </c>
      <c r="AT16" s="18">
        <f>'Emission Factors'!BG14</f>
        <v>0</v>
      </c>
      <c r="AU16" s="18">
        <f>'Emission Factors'!BH14</f>
        <v>0</v>
      </c>
      <c r="AV16" s="18">
        <f>'Emission Factors'!BI14</f>
        <v>0</v>
      </c>
      <c r="AW16" s="18">
        <f>'Emission Factors'!BJ14</f>
        <v>0</v>
      </c>
      <c r="AX16" s="18">
        <f>'Emission Factors'!BK14</f>
        <v>0</v>
      </c>
      <c r="AY16" s="18">
        <f>'Emission Factors'!BL14</f>
        <v>0</v>
      </c>
      <c r="AZ16" s="18">
        <f>'Emission Factors'!BM14</f>
        <v>0</v>
      </c>
    </row>
    <row r="17" spans="1:52">
      <c r="A17" s="65">
        <f>'Emission Factors'!A15</f>
        <v>44336</v>
      </c>
      <c r="B17" s="96">
        <f>'Emission Factors'!E15</f>
        <v>44336.40347222222</v>
      </c>
      <c r="C17" s="65" t="str">
        <f>'Filter Weights'!E15</f>
        <v>20210520-K</v>
      </c>
      <c r="D17" s="65" t="str">
        <f>CONCATENATE('Emission Factors'!C15," ",'Emission Factors'!D15)</f>
        <v>Wet birch Startup</v>
      </c>
      <c r="E17" s="9">
        <f>'Phase Parameters'!R15</f>
        <v>28.802600000000002</v>
      </c>
      <c r="F17" s="2">
        <f>('Phase CEMS VOC Concentration'!J15-Backgrounds!J15)/('Phase CEMS VOC Concentration'!J15 - Backgrounds!J15+ 'Phase CEMS VOC Concentration'!K15 - Backgrounds!L15)</f>
        <v>0.95418027421790519</v>
      </c>
      <c r="G17" s="25">
        <f>'Phase CEMS VOC Concentration'!J15</f>
        <v>1915.29</v>
      </c>
      <c r="H17" s="9">
        <f>'Phase CEMS VOC Concentration'!K15</f>
        <v>72.337699999999998</v>
      </c>
      <c r="I17" s="9">
        <f>'Phase CEMS VOC Concentration'!L15</f>
        <v>69.896900000000002</v>
      </c>
      <c r="J17" s="9">
        <f>'Filter Weights'!CY15</f>
        <v>6.0371347281525969</v>
      </c>
      <c r="K17" s="9">
        <f>'Filter Weights'!EL15</f>
        <v>7.9623323226919576</v>
      </c>
      <c r="L17" s="9">
        <f>'Emission Factors'!Y15</f>
        <v>3.8982537685829488</v>
      </c>
      <c r="M17" s="2">
        <f>'Emission Factors'!Z15</f>
        <v>5.141378051230264</v>
      </c>
      <c r="N17" s="2">
        <f>'Emission Factors'!AA15</f>
        <v>0.37184569308829896</v>
      </c>
      <c r="O17" s="18">
        <f>'Emission Factors'!AB15</f>
        <v>9.0633547862896697E-3</v>
      </c>
      <c r="P17" s="18">
        <f>'Emission Factors'!AC15</f>
        <v>0</v>
      </c>
      <c r="Q17" s="18">
        <f>'Emission Factors'!AD15</f>
        <v>0</v>
      </c>
      <c r="R17" s="18">
        <f>'Emission Factors'!AE15</f>
        <v>5.9967994562075922E-3</v>
      </c>
      <c r="S17" s="18">
        <f>'Emission Factors'!AF15</f>
        <v>4.124975542302729E-4</v>
      </c>
      <c r="T17" s="18">
        <f>'Emission Factors'!AG15</f>
        <v>9.872857425978189E-3</v>
      </c>
      <c r="U17" s="18">
        <f>'Emission Factors'!AH15</f>
        <v>1.3736902007611494E-2</v>
      </c>
      <c r="V17" s="18">
        <f>'Emission Factors'!AI15</f>
        <v>2.5150888672432491E-2</v>
      </c>
      <c r="W17" s="18">
        <f>'Emission Factors'!AJ15</f>
        <v>1.0074467039962984E-2</v>
      </c>
      <c r="X17" s="18">
        <f>'Emission Factors'!AK15</f>
        <v>1.8319267228995349E-4</v>
      </c>
      <c r="Y17" s="18">
        <f>'Emission Factors'!AL15</f>
        <v>0</v>
      </c>
      <c r="Z17" s="18">
        <f>'Emission Factors'!AM15</f>
        <v>0</v>
      </c>
      <c r="AA17" s="18">
        <f>'Emission Factors'!AN15</f>
        <v>4.8732708893739025E-5</v>
      </c>
      <c r="AB17" s="18">
        <f>'Emission Factors'!AO15</f>
        <v>8.0377422599213976E-4</v>
      </c>
      <c r="AC17" s="18">
        <f>'Emission Factors'!AP15</f>
        <v>4.4455031933525689E-5</v>
      </c>
      <c r="AD17" s="18">
        <f>'Emission Factors'!AQ15</f>
        <v>0</v>
      </c>
      <c r="AE17" s="18">
        <f>'Emission Factors'!AR15</f>
        <v>0</v>
      </c>
      <c r="AF17" s="18">
        <f>'Emission Factors'!AS15</f>
        <v>3.9775158978401295E-3</v>
      </c>
      <c r="AG17" s="18">
        <f>'Emission Factors'!AT15</f>
        <v>0</v>
      </c>
      <c r="AH17" s="18">
        <f>'Emission Factors'!AU15</f>
        <v>0</v>
      </c>
      <c r="AI17" s="18">
        <f>'Emission Factors'!AV15</f>
        <v>0</v>
      </c>
      <c r="AJ17" s="18">
        <f>'Emission Factors'!AW15</f>
        <v>0</v>
      </c>
      <c r="AK17" s="18">
        <f>'Emission Factors'!AX15</f>
        <v>0</v>
      </c>
      <c r="AL17" s="18">
        <f>'Emission Factors'!AY15</f>
        <v>0</v>
      </c>
      <c r="AM17" s="18">
        <f>'Emission Factors'!AZ15</f>
        <v>0</v>
      </c>
      <c r="AN17" s="18">
        <f>'Emission Factors'!BA15</f>
        <v>0</v>
      </c>
      <c r="AO17" s="18">
        <f>'Emission Factors'!BB15</f>
        <v>2.1111863940252048E-4</v>
      </c>
      <c r="AP17" s="18">
        <f>'Emission Factors'!BC15</f>
        <v>0</v>
      </c>
      <c r="AQ17" s="18">
        <f>'Emission Factors'!BD15</f>
        <v>2.3388633580867459E-4</v>
      </c>
      <c r="AR17" s="18">
        <f>'Emission Factors'!BE15</f>
        <v>0</v>
      </c>
      <c r="AS17" s="18">
        <f>'Emission Factors'!BF15</f>
        <v>5.730726864131597E-4</v>
      </c>
      <c r="AT17" s="18">
        <f>'Emission Factors'!BG15</f>
        <v>0</v>
      </c>
      <c r="AU17" s="18">
        <f>'Emission Factors'!BH15</f>
        <v>2.6203548772901061E-3</v>
      </c>
      <c r="AV17" s="18">
        <f>'Emission Factors'!BI15</f>
        <v>0</v>
      </c>
      <c r="AW17" s="18">
        <f>'Emission Factors'!BJ15</f>
        <v>0</v>
      </c>
      <c r="AX17" s="18">
        <f>'Emission Factors'!BK15</f>
        <v>0</v>
      </c>
      <c r="AY17" s="18">
        <f>'Emission Factors'!BL15</f>
        <v>1.4074575960168028E-4</v>
      </c>
      <c r="AZ17" s="18">
        <f>'Emission Factors'!BM15</f>
        <v>6.124172117325808E-5</v>
      </c>
    </row>
    <row r="18" spans="1:52" s="208" customFormat="1">
      <c r="A18" s="202">
        <f>'Emission Factors'!A16</f>
        <v>44336</v>
      </c>
      <c r="B18" s="203">
        <f>'Emission Factors'!E16</f>
        <v>44336.426388888889</v>
      </c>
      <c r="C18" s="202" t="str">
        <f>'Filter Weights'!E16</f>
        <v>20210520-HF</v>
      </c>
      <c r="D18" s="202" t="str">
        <f>CONCATENATE('Emission Factors'!C16," ",'Emission Factors'!D16)</f>
        <v>Wet birch High</v>
      </c>
      <c r="E18" s="204">
        <f>'Phase Parameters'!R16</f>
        <v>28.476600000000001</v>
      </c>
      <c r="F18" s="205">
        <f>('Phase CEMS VOC Concentration'!J16-Backgrounds!J16)/('Phase CEMS VOC Concentration'!J16 - Backgrounds!J16+ 'Phase CEMS VOC Concentration'!K16 - Backgrounds!L16)</f>
        <v>0.98187363173969677</v>
      </c>
      <c r="G18" s="206">
        <f>'Phase CEMS VOC Concentration'!J16</f>
        <v>1540</v>
      </c>
      <c r="H18" s="204">
        <f>'Phase CEMS VOC Concentration'!K16</f>
        <v>20.6861</v>
      </c>
      <c r="I18" s="204">
        <f>'Phase CEMS VOC Concentration'!L16</f>
        <v>26.247399999999999</v>
      </c>
      <c r="J18" s="204">
        <f>'Filter Weights'!CY16</f>
        <v>2.6984801672793939</v>
      </c>
      <c r="K18" s="204">
        <f>'Filter Weights'!EL16</f>
        <v>0.60685524799489743</v>
      </c>
      <c r="L18" s="204">
        <f>'Emission Factors'!Y16</f>
        <v>2.4225697724839108</v>
      </c>
      <c r="M18" s="205">
        <f>'Emission Factors'!Z16</f>
        <v>0.54480636837433927</v>
      </c>
      <c r="N18" s="205">
        <f>'Emission Factors'!AA16</f>
        <v>0.10880811228420492</v>
      </c>
      <c r="O18" s="207">
        <f>'Emission Factors'!AB16</f>
        <v>7.6353297002543794E-4</v>
      </c>
      <c r="P18" s="207">
        <f>'Emission Factors'!AC16</f>
        <v>0</v>
      </c>
      <c r="Q18" s="207">
        <f>'Emission Factors'!AD16</f>
        <v>0</v>
      </c>
      <c r="R18" s="207">
        <f>'Emission Factors'!AE16</f>
        <v>1.9669227830918298E-4</v>
      </c>
      <c r="S18" s="207">
        <f>'Emission Factors'!AF16</f>
        <v>0</v>
      </c>
      <c r="T18" s="207">
        <f>'Emission Factors'!AG16</f>
        <v>6.9693133817651234E-3</v>
      </c>
      <c r="U18" s="207">
        <f>'Emission Factors'!AH16</f>
        <v>7.161207173696082E-3</v>
      </c>
      <c r="V18" s="207">
        <f>'Emission Factors'!AI16</f>
        <v>1.5537666200850356E-2</v>
      </c>
      <c r="W18" s="207">
        <f>'Emission Factors'!AJ16</f>
        <v>8.0397330098563868E-4</v>
      </c>
      <c r="X18" s="207">
        <f>'Emission Factors'!AK16</f>
        <v>0</v>
      </c>
      <c r="Y18" s="207">
        <f>'Emission Factors'!AL16</f>
        <v>0</v>
      </c>
      <c r="Z18" s="207">
        <f>'Emission Factors'!AM16</f>
        <v>5.3691014747835942E-4</v>
      </c>
      <c r="AA18" s="207">
        <f>'Emission Factors'!AN16</f>
        <v>1.4678031640493908E-5</v>
      </c>
      <c r="AB18" s="207">
        <f>'Emission Factors'!AO16</f>
        <v>3.1587570212277872E-4</v>
      </c>
      <c r="AC18" s="207">
        <f>'Emission Factors'!AP16</f>
        <v>0</v>
      </c>
      <c r="AD18" s="207">
        <f>'Emission Factors'!AQ16</f>
        <v>0</v>
      </c>
      <c r="AE18" s="207">
        <f>'Emission Factors'!AR16</f>
        <v>1.4921668538755227E-5</v>
      </c>
      <c r="AF18" s="207">
        <f>'Emission Factors'!AS16</f>
        <v>3.4963999933480942E-3</v>
      </c>
      <c r="AG18" s="207">
        <f>'Emission Factors'!AT16</f>
        <v>0</v>
      </c>
      <c r="AH18" s="207">
        <f>'Emission Factors'!AU16</f>
        <v>0</v>
      </c>
      <c r="AI18" s="207">
        <f>'Emission Factors'!AV16</f>
        <v>0</v>
      </c>
      <c r="AJ18" s="207">
        <f>'Emission Factors'!AW16</f>
        <v>1.0094069893863831E-5</v>
      </c>
      <c r="AK18" s="207">
        <f>'Emission Factors'!AX16</f>
        <v>5.7143205176438893E-6</v>
      </c>
      <c r="AL18" s="207">
        <f>'Emission Factors'!AY16</f>
        <v>6.4514272799912298E-5</v>
      </c>
      <c r="AM18" s="207">
        <f>'Emission Factors'!AZ16</f>
        <v>0</v>
      </c>
      <c r="AN18" s="207">
        <f>'Emission Factors'!BA16</f>
        <v>2.2263468069590005E-6</v>
      </c>
      <c r="AO18" s="207">
        <f>'Emission Factors'!BB16</f>
        <v>0</v>
      </c>
      <c r="AP18" s="207">
        <f>'Emission Factors'!BC16</f>
        <v>0</v>
      </c>
      <c r="AQ18" s="207">
        <f>'Emission Factors'!BD16</f>
        <v>0</v>
      </c>
      <c r="AR18" s="207">
        <f>'Emission Factors'!BE16</f>
        <v>0</v>
      </c>
      <c r="AS18" s="207">
        <f>'Emission Factors'!BF16</f>
        <v>9.9357900343247308E-5</v>
      </c>
      <c r="AT18" s="207">
        <f>'Emission Factors'!BG16</f>
        <v>0</v>
      </c>
      <c r="AU18" s="207">
        <f>'Emission Factors'!BH16</f>
        <v>2.0846448693849208E-4</v>
      </c>
      <c r="AV18" s="207">
        <f>'Emission Factors'!BI16</f>
        <v>9.9185208522314128E-5</v>
      </c>
      <c r="AW18" s="207">
        <f>'Emission Factors'!BJ16</f>
        <v>0</v>
      </c>
      <c r="AX18" s="207">
        <f>'Emission Factors'!BK16</f>
        <v>0</v>
      </c>
      <c r="AY18" s="207">
        <f>'Emission Factors'!BL16</f>
        <v>0</v>
      </c>
      <c r="AZ18" s="207">
        <f>'Emission Factors'!BM16</f>
        <v>3.6897282529360837E-5</v>
      </c>
    </row>
    <row r="19" spans="1:52">
      <c r="A19" s="65">
        <f>'Emission Factors'!A17</f>
        <v>44341</v>
      </c>
      <c r="B19" s="96">
        <f>'Emission Factors'!E17</f>
        <v>44341.361805555556</v>
      </c>
      <c r="C19" s="65" t="str">
        <f>'Filter Weights'!E17</f>
        <v>20210525-K</v>
      </c>
      <c r="D19" s="65" t="str">
        <f>CONCATENATE('Emission Factors'!C17," ",'Emission Factors'!D17)</f>
        <v>Wet birch Startup</v>
      </c>
      <c r="E19" s="9">
        <f>'Phase Parameters'!R17</f>
        <v>29.592099999999999</v>
      </c>
      <c r="F19" s="2">
        <f>('Phase CEMS VOC Concentration'!J17-Backgrounds!J17)/('Phase CEMS VOC Concentration'!J17 - Backgrounds!J17+ 'Phase CEMS VOC Concentration'!K17 - Backgrounds!L17)</f>
        <v>0.90794794127369072</v>
      </c>
      <c r="G19" s="25">
        <f>'Phase CEMS VOC Concentration'!J17</f>
        <v>2370.64</v>
      </c>
      <c r="H19" s="9">
        <f>'Phase CEMS VOC Concentration'!K17</f>
        <v>194.78700000000001</v>
      </c>
      <c r="I19" s="9">
        <f>'Phase CEMS VOC Concentration'!L17</f>
        <v>142.94900000000001</v>
      </c>
      <c r="J19" s="9">
        <f>'Filter Weights'!CY17</f>
        <v>26.354975576761277</v>
      </c>
      <c r="K19" s="9">
        <f>'Filter Weights'!EL17</f>
        <v>14.281103198761844</v>
      </c>
      <c r="L19" s="9">
        <f>'Emission Factors'!Y17</f>
        <v>12.41002909885691</v>
      </c>
      <c r="M19" s="2">
        <f>'Emission Factors'!Z17</f>
        <v>6.7246848984631988</v>
      </c>
      <c r="N19" s="2">
        <f>'Emission Factors'!AA17</f>
        <v>0.62221230628898228</v>
      </c>
      <c r="O19" s="18">
        <f>'Emission Factors'!AB17</f>
        <v>0</v>
      </c>
      <c r="P19" s="18">
        <f>'Emission Factors'!AC17</f>
        <v>0</v>
      </c>
      <c r="Q19" s="18">
        <f>'Emission Factors'!AD17</f>
        <v>0</v>
      </c>
      <c r="R19" s="18">
        <f>'Emission Factors'!AE17</f>
        <v>1.532064706744732E-3</v>
      </c>
      <c r="S19" s="18">
        <f>'Emission Factors'!AF17</f>
        <v>0</v>
      </c>
      <c r="T19" s="18">
        <f>'Emission Factors'!AG17</f>
        <v>1.3394671588940319E-2</v>
      </c>
      <c r="U19" s="18">
        <f>'Emission Factors'!AH17</f>
        <v>2.2927425527561263E-2</v>
      </c>
      <c r="V19" s="18">
        <f>'Emission Factors'!AI17</f>
        <v>1.7269880211190514E-2</v>
      </c>
      <c r="W19" s="18">
        <f>'Emission Factors'!AJ17</f>
        <v>2.0136835547493732E-3</v>
      </c>
      <c r="X19" s="18">
        <f>'Emission Factors'!AK17</f>
        <v>9.1450541628683541E-5</v>
      </c>
      <c r="Y19" s="18">
        <f>'Emission Factors'!AL17</f>
        <v>0</v>
      </c>
      <c r="Z19" s="18">
        <f>'Emission Factors'!AM17</f>
        <v>0</v>
      </c>
      <c r="AA19" s="18">
        <f>'Emission Factors'!AN17</f>
        <v>2.4859482625337517E-4</v>
      </c>
      <c r="AB19" s="18">
        <f>'Emission Factors'!AO17</f>
        <v>6.8239782029985143E-4</v>
      </c>
      <c r="AC19" s="18">
        <f>'Emission Factors'!AP17</f>
        <v>0</v>
      </c>
      <c r="AD19" s="18">
        <f>'Emission Factors'!AQ17</f>
        <v>0</v>
      </c>
      <c r="AE19" s="18">
        <f>'Emission Factors'!AR17</f>
        <v>5.6890977978771817E-5</v>
      </c>
      <c r="AF19" s="18">
        <f>'Emission Factors'!AS17</f>
        <v>4.3720447030727565E-3</v>
      </c>
      <c r="AG19" s="18">
        <f>'Emission Factors'!AT17</f>
        <v>0</v>
      </c>
      <c r="AH19" s="18">
        <f>'Emission Factors'!AU17</f>
        <v>0</v>
      </c>
      <c r="AI19" s="18">
        <f>'Emission Factors'!AV17</f>
        <v>1.2812676053119626E-5</v>
      </c>
      <c r="AJ19" s="18">
        <f>'Emission Factors'!AW17</f>
        <v>0</v>
      </c>
      <c r="AK19" s="18">
        <f>'Emission Factors'!AX17</f>
        <v>0</v>
      </c>
      <c r="AL19" s="18">
        <f>'Emission Factors'!AY17</f>
        <v>0</v>
      </c>
      <c r="AM19" s="18">
        <f>'Emission Factors'!AZ17</f>
        <v>0</v>
      </c>
      <c r="AN19" s="18">
        <f>'Emission Factors'!BA17</f>
        <v>0</v>
      </c>
      <c r="AO19" s="18">
        <f>'Emission Factors'!BB17</f>
        <v>0</v>
      </c>
      <c r="AP19" s="18">
        <f>'Emission Factors'!BC17</f>
        <v>0</v>
      </c>
      <c r="AQ19" s="18">
        <f>'Emission Factors'!BD17</f>
        <v>3.0286079453404995E-4</v>
      </c>
      <c r="AR19" s="18">
        <f>'Emission Factors'!BE17</f>
        <v>0</v>
      </c>
      <c r="AS19" s="18">
        <f>'Emission Factors'!BF17</f>
        <v>0</v>
      </c>
      <c r="AT19" s="18">
        <f>'Emission Factors'!BG17</f>
        <v>0</v>
      </c>
      <c r="AU19" s="18">
        <f>'Emission Factors'!BH17</f>
        <v>0</v>
      </c>
      <c r="AV19" s="18">
        <f>'Emission Factors'!BI17</f>
        <v>1.1344730314590378E-3</v>
      </c>
      <c r="AW19" s="18">
        <f>'Emission Factors'!BJ17</f>
        <v>0</v>
      </c>
      <c r="AX19" s="18">
        <f>'Emission Factors'!BK17</f>
        <v>0</v>
      </c>
      <c r="AY19" s="18">
        <f>'Emission Factors'!BL17</f>
        <v>9.3702787259153584E-5</v>
      </c>
      <c r="AZ19" s="18">
        <f>'Emission Factors'!BM17</f>
        <v>0</v>
      </c>
    </row>
    <row r="20" spans="1:52">
      <c r="A20" s="65">
        <f>'Emission Factors'!A18</f>
        <v>44341</v>
      </c>
      <c r="B20" s="96">
        <f>'Emission Factors'!E18</f>
        <v>44341.383333333331</v>
      </c>
      <c r="C20" s="65" t="str">
        <f>'Filter Weights'!E18</f>
        <v>20210525-LF</v>
      </c>
      <c r="D20" s="65" t="str">
        <f>CONCATENATE('Emission Factors'!C18," ",'Emission Factors'!D18)</f>
        <v>Wet birch Low</v>
      </c>
      <c r="E20" s="9">
        <f>'Phase Parameters'!R18</f>
        <v>26.331800000000001</v>
      </c>
      <c r="F20" s="2">
        <f>('Phase CEMS VOC Concentration'!J18-Backgrounds!J18)/('Phase CEMS VOC Concentration'!J18 - Backgrounds!J18+ 'Phase CEMS VOC Concentration'!K18 - Backgrounds!L18)</f>
        <v>0.99167419955123071</v>
      </c>
      <c r="G20" s="25">
        <f>'Phase CEMS VOC Concentration'!J18</f>
        <v>1072.73</v>
      </c>
      <c r="H20" s="9">
        <f>'Phase CEMS VOC Concentration'!K18</f>
        <v>4.9558999999999997</v>
      </c>
      <c r="I20" s="9">
        <f>'Phase CEMS VOC Concentration'!L18</f>
        <v>20.784500000000001</v>
      </c>
      <c r="J20" s="9">
        <f>'Filter Weights'!CY18</f>
        <v>0.31813923706917063</v>
      </c>
      <c r="K20" s="9">
        <f>'Filter Weights'!EL18</f>
        <v>0.12564432777025511</v>
      </c>
      <c r="L20" s="9">
        <f>'Emission Factors'!Y18</f>
        <v>0.51168878775779858</v>
      </c>
      <c r="M20" s="2">
        <f>'Emission Factors'!Z18</f>
        <v>0.2020838245470083</v>
      </c>
      <c r="N20" s="2">
        <f>'Emission Factors'!AA18</f>
        <v>4.9290942519824701E-2</v>
      </c>
      <c r="O20" s="18">
        <f>'Emission Factors'!AB18</f>
        <v>0</v>
      </c>
      <c r="P20" s="18">
        <f>'Emission Factors'!AC18</f>
        <v>0</v>
      </c>
      <c r="Q20" s="18">
        <f>'Emission Factors'!AD18</f>
        <v>0</v>
      </c>
      <c r="R20" s="18">
        <f>'Emission Factors'!AE18</f>
        <v>1.9771793583504937E-3</v>
      </c>
      <c r="S20" s="18">
        <f>'Emission Factors'!AF18</f>
        <v>0</v>
      </c>
      <c r="T20" s="18">
        <f>'Emission Factors'!AG18</f>
        <v>4.3185650268331814E-3</v>
      </c>
      <c r="U20" s="18">
        <f>'Emission Factors'!AH18</f>
        <v>2.0009086435847628E-3</v>
      </c>
      <c r="V20" s="18">
        <f>'Emission Factors'!AI18</f>
        <v>8.6993664911764849E-3</v>
      </c>
      <c r="W20" s="18">
        <f>'Emission Factors'!AJ18</f>
        <v>0</v>
      </c>
      <c r="X20" s="18">
        <f>'Emission Factors'!AK18</f>
        <v>0</v>
      </c>
      <c r="Y20" s="18">
        <f>'Emission Factors'!AL18</f>
        <v>0</v>
      </c>
      <c r="Z20" s="18">
        <f>'Emission Factors'!AM18</f>
        <v>2.446089088383596E-4</v>
      </c>
      <c r="AA20" s="18">
        <f>'Emission Factors'!AN18</f>
        <v>0</v>
      </c>
      <c r="AB20" s="18">
        <f>'Emission Factors'!AO18</f>
        <v>0</v>
      </c>
      <c r="AC20" s="18">
        <f>'Emission Factors'!AP18</f>
        <v>0</v>
      </c>
      <c r="AD20" s="18">
        <f>'Emission Factors'!AQ18</f>
        <v>0</v>
      </c>
      <c r="AE20" s="18">
        <f>'Emission Factors'!AR18</f>
        <v>7.5715116355217742E-6</v>
      </c>
      <c r="AF20" s="18">
        <f>'Emission Factors'!AS18</f>
        <v>6.1419885083468357E-4</v>
      </c>
      <c r="AG20" s="18">
        <f>'Emission Factors'!AT18</f>
        <v>0</v>
      </c>
      <c r="AH20" s="18">
        <f>'Emission Factors'!AU18</f>
        <v>0</v>
      </c>
      <c r="AI20" s="18">
        <f>'Emission Factors'!AV18</f>
        <v>0</v>
      </c>
      <c r="AJ20" s="18">
        <f>'Emission Factors'!AW18</f>
        <v>2.2385338748499158E-5</v>
      </c>
      <c r="AK20" s="18">
        <f>'Emission Factors'!AX18</f>
        <v>0</v>
      </c>
      <c r="AL20" s="18">
        <f>'Emission Factors'!AY18</f>
        <v>7.5715116355217742E-6</v>
      </c>
      <c r="AM20" s="18">
        <f>'Emission Factors'!AZ18</f>
        <v>0</v>
      </c>
      <c r="AN20" s="18">
        <f>'Emission Factors'!BA18</f>
        <v>6.8832108177058217E-6</v>
      </c>
      <c r="AO20" s="18">
        <f>'Emission Factors'!BB18</f>
        <v>3.6211577387278054E-6</v>
      </c>
      <c r="AP20" s="18">
        <f>'Emission Factors'!BC18</f>
        <v>1.843498485170519E-5</v>
      </c>
      <c r="AQ20" s="18">
        <f>'Emission Factors'!BD18</f>
        <v>0</v>
      </c>
      <c r="AR20" s="18">
        <f>'Emission Factors'!BE18</f>
        <v>8.5591001097202652E-5</v>
      </c>
      <c r="AS20" s="18">
        <f>'Emission Factors'!BF18</f>
        <v>1.439663199356218E-5</v>
      </c>
      <c r="AT20" s="18">
        <f>'Emission Factors'!BG18</f>
        <v>0</v>
      </c>
      <c r="AU20" s="18">
        <f>'Emission Factors'!BH18</f>
        <v>0</v>
      </c>
      <c r="AV20" s="18">
        <f>'Emission Factors'!BI18</f>
        <v>0</v>
      </c>
      <c r="AW20" s="18">
        <f>'Emission Factors'!BJ18</f>
        <v>0</v>
      </c>
      <c r="AX20" s="18">
        <f>'Emission Factors'!BK18</f>
        <v>3.3835149491875066E-6</v>
      </c>
      <c r="AY20" s="18">
        <f>'Emission Factors'!BL18</f>
        <v>7.5715116355217742E-6</v>
      </c>
      <c r="AZ20" s="18">
        <f>'Emission Factors'!BM18</f>
        <v>0</v>
      </c>
    </row>
    <row r="21" spans="1:52">
      <c r="A21" s="65">
        <f>'Emission Factors'!A19</f>
        <v>44342</v>
      </c>
      <c r="B21" s="96">
        <f>'Emission Factors'!E19</f>
        <v>44342.388888888891</v>
      </c>
      <c r="C21" s="65" t="str">
        <f>'Filter Weights'!E19</f>
        <v>20210526-K</v>
      </c>
      <c r="D21" s="65" t="str">
        <f>CONCATENATE('Emission Factors'!C19," ",'Emission Factors'!D19)</f>
        <v>Wet birch Startup</v>
      </c>
      <c r="E21" s="9">
        <f>'Phase Parameters'!R19</f>
        <v>27.829000000000001</v>
      </c>
      <c r="F21" s="2">
        <f>('Phase CEMS VOC Concentration'!J19-Backgrounds!J19)/('Phase CEMS VOC Concentration'!J19 - Backgrounds!J19+ 'Phase CEMS VOC Concentration'!K19 - Backgrounds!L19)</f>
        <v>0.90022166555586458</v>
      </c>
      <c r="G21" s="25">
        <f>'Phase CEMS VOC Concentration'!J19</f>
        <v>1951.19</v>
      </c>
      <c r="H21" s="9">
        <f>'Phase CEMS VOC Concentration'!K19</f>
        <v>167.02</v>
      </c>
      <c r="I21" s="9">
        <f>'Phase CEMS VOC Concentration'!L19</f>
        <v>146.01300000000001</v>
      </c>
      <c r="J21" s="9">
        <f>'Filter Weights'!CY19</f>
        <v>24.159797760572182</v>
      </c>
      <c r="K21" s="9">
        <f>'Filter Weights'!EL19</f>
        <v>14.909203526382985</v>
      </c>
      <c r="L21" s="9">
        <f>'Emission Factors'!Y19</f>
        <v>13.997343930143957</v>
      </c>
      <c r="M21" s="2">
        <f>'Emission Factors'!Z19</f>
        <v>8.6378723676184972</v>
      </c>
      <c r="N21" s="2">
        <f>'Emission Factors'!AA19</f>
        <v>0.46774641233518327</v>
      </c>
      <c r="O21" s="18">
        <f>'Emission Factors'!AB19</f>
        <v>0</v>
      </c>
      <c r="P21" s="18">
        <f>'Emission Factors'!AC19</f>
        <v>0</v>
      </c>
      <c r="Q21" s="18">
        <f>'Emission Factors'!AD19</f>
        <v>0</v>
      </c>
      <c r="R21" s="18">
        <f>'Emission Factors'!AE19</f>
        <v>6.3802128668383532E-4</v>
      </c>
      <c r="S21" s="18">
        <f>'Emission Factors'!AF19</f>
        <v>0</v>
      </c>
      <c r="T21" s="18">
        <f>'Emission Factors'!AG19</f>
        <v>1.7482762185558085E-2</v>
      </c>
      <c r="U21" s="18">
        <f>'Emission Factors'!AH19</f>
        <v>2.8194723167928894E-2</v>
      </c>
      <c r="V21" s="18">
        <f>'Emission Factors'!AI19</f>
        <v>1.339427531378283E-2</v>
      </c>
      <c r="W21" s="18">
        <f>'Emission Factors'!AJ19</f>
        <v>6.3805115240490439E-3</v>
      </c>
      <c r="X21" s="18">
        <f>'Emission Factors'!AK19</f>
        <v>9.0714097155573313E-5</v>
      </c>
      <c r="Y21" s="18">
        <f>'Emission Factors'!AL19</f>
        <v>0</v>
      </c>
      <c r="Z21" s="18">
        <f>'Emission Factors'!AM19</f>
        <v>1.7002591300195591E-4</v>
      </c>
      <c r="AA21" s="18">
        <f>'Emission Factors'!AN19</f>
        <v>7.4068606673954762E-5</v>
      </c>
      <c r="AB21" s="18">
        <f>'Emission Factors'!AO19</f>
        <v>0</v>
      </c>
      <c r="AC21" s="18">
        <f>'Emission Factors'!AP19</f>
        <v>0</v>
      </c>
      <c r="AD21" s="18">
        <f>'Emission Factors'!AQ19</f>
        <v>0</v>
      </c>
      <c r="AE21" s="18">
        <f>'Emission Factors'!AR19</f>
        <v>0</v>
      </c>
      <c r="AF21" s="18">
        <f>'Emission Factors'!AS19</f>
        <v>4.5874795181184841E-3</v>
      </c>
      <c r="AG21" s="18">
        <f>'Emission Factors'!AT19</f>
        <v>0</v>
      </c>
      <c r="AH21" s="18">
        <f>'Emission Factors'!AU19</f>
        <v>1.4022785040587054E-4</v>
      </c>
      <c r="AI21" s="18">
        <f>'Emission Factors'!AV19</f>
        <v>5.4983385664049028E-5</v>
      </c>
      <c r="AJ21" s="18">
        <f>'Emission Factors'!AW19</f>
        <v>0</v>
      </c>
      <c r="AK21" s="18">
        <f>'Emission Factors'!AX19</f>
        <v>1.2090398523168252E-4</v>
      </c>
      <c r="AL21" s="18">
        <f>'Emission Factors'!AY19</f>
        <v>0</v>
      </c>
      <c r="AM21" s="18">
        <f>'Emission Factors'!AZ19</f>
        <v>0</v>
      </c>
      <c r="AN21" s="18">
        <f>'Emission Factors'!BA19</f>
        <v>0</v>
      </c>
      <c r="AO21" s="18">
        <f>'Emission Factors'!BB19</f>
        <v>0</v>
      </c>
      <c r="AP21" s="18">
        <f>'Emission Factors'!BC19</f>
        <v>0</v>
      </c>
      <c r="AQ21" s="18">
        <f>'Emission Factors'!BD19</f>
        <v>1.8697046720782739E-4</v>
      </c>
      <c r="AR21" s="18">
        <f>'Emission Factors'!BE19</f>
        <v>3.1070092344830135E-4</v>
      </c>
      <c r="AS21" s="18">
        <f>'Emission Factors'!BF19</f>
        <v>2.3931744404898228E-4</v>
      </c>
      <c r="AT21" s="18">
        <f>'Emission Factors'!BG19</f>
        <v>9.7884538714686112E-4</v>
      </c>
      <c r="AU21" s="18">
        <f>'Emission Factors'!BH19</f>
        <v>1.4297741610010332E-3</v>
      </c>
      <c r="AV21" s="18">
        <f>'Emission Factors'!BI19</f>
        <v>7.7675230862075376E-4</v>
      </c>
      <c r="AW21" s="18">
        <f>'Emission Factors'!BJ19</f>
        <v>0</v>
      </c>
      <c r="AX21" s="18">
        <f>'Emission Factors'!BK19</f>
        <v>0</v>
      </c>
      <c r="AY21" s="18">
        <f>'Emission Factors'!BL19</f>
        <v>0</v>
      </c>
      <c r="AZ21" s="18">
        <f>'Emission Factors'!BM19</f>
        <v>0</v>
      </c>
    </row>
    <row r="22" spans="1:52">
      <c r="A22" s="65">
        <f>'Emission Factors'!A20</f>
        <v>44342</v>
      </c>
      <c r="B22" s="96">
        <f>'Emission Factors'!E20</f>
        <v>44342.418055555558</v>
      </c>
      <c r="C22" s="65" t="str">
        <f>'Filter Weights'!E20</f>
        <v>20210526-LF</v>
      </c>
      <c r="D22" s="65" t="str">
        <f>CONCATENATE('Emission Factors'!C20," ",'Emission Factors'!D20)</f>
        <v>Wet birch Low</v>
      </c>
      <c r="E22" s="9">
        <f>'Phase Parameters'!R20</f>
        <v>25.945</v>
      </c>
      <c r="F22" s="2">
        <f>('Phase CEMS VOC Concentration'!J20-Backgrounds!J20)/('Phase CEMS VOC Concentration'!J20 - Backgrounds!J20+ 'Phase CEMS VOC Concentration'!K20 - Backgrounds!L20)</f>
        <v>0.98332757901969092</v>
      </c>
      <c r="G22" s="25">
        <f>'Phase CEMS VOC Concentration'!J20</f>
        <v>1129.29</v>
      </c>
      <c r="H22" s="9">
        <f>'Phase CEMS VOC Concentration'!K20</f>
        <v>11.508699999999999</v>
      </c>
      <c r="I22" s="9">
        <f>'Phase CEMS VOC Concentration'!L20</f>
        <v>25.730399999999999</v>
      </c>
      <c r="J22" s="9">
        <f>'Filter Weights'!CY20</f>
        <v>0.48707984155591122</v>
      </c>
      <c r="K22" s="9">
        <f>'Filter Weights'!EL20</f>
        <v>0.23102736401151397</v>
      </c>
      <c r="L22" s="9">
        <f>'Emission Factors'!Y20</f>
        <v>0.70524896800412185</v>
      </c>
      <c r="M22" s="2">
        <f>'Emission Factors'!Z20</f>
        <v>0.33450739724594025</v>
      </c>
      <c r="N22" s="2">
        <f>'Emission Factors'!AA20</f>
        <v>5.0647182066130295E-2</v>
      </c>
      <c r="O22" s="18">
        <f>'Emission Factors'!AB20</f>
        <v>0</v>
      </c>
      <c r="P22" s="18">
        <f>'Emission Factors'!AC20</f>
        <v>0</v>
      </c>
      <c r="Q22" s="18">
        <f>'Emission Factors'!AD20</f>
        <v>0</v>
      </c>
      <c r="R22" s="18">
        <f>'Emission Factors'!AE20</f>
        <v>6.1769422426099694E-4</v>
      </c>
      <c r="S22" s="18">
        <f>'Emission Factors'!AF20</f>
        <v>7.1424729526684199E-6</v>
      </c>
      <c r="T22" s="18">
        <f>'Emission Factors'!AG20</f>
        <v>3.7274788303122879E-3</v>
      </c>
      <c r="U22" s="18">
        <f>'Emission Factors'!AH20</f>
        <v>5.3267324472090804E-3</v>
      </c>
      <c r="V22" s="18">
        <f>'Emission Factors'!AI20</f>
        <v>1.1475776888544046E-2</v>
      </c>
      <c r="W22" s="18">
        <f>'Emission Factors'!AJ20</f>
        <v>0</v>
      </c>
      <c r="X22" s="18">
        <f>'Emission Factors'!AK20</f>
        <v>0</v>
      </c>
      <c r="Y22" s="18">
        <f>'Emission Factors'!AL20</f>
        <v>0</v>
      </c>
      <c r="Z22" s="18">
        <f>'Emission Factors'!AM20</f>
        <v>1.6768951439925634E-4</v>
      </c>
      <c r="AA22" s="18">
        <f>'Emission Factors'!AN20</f>
        <v>0</v>
      </c>
      <c r="AB22" s="18">
        <f>'Emission Factors'!AO20</f>
        <v>0</v>
      </c>
      <c r="AC22" s="18">
        <f>'Emission Factors'!AP20</f>
        <v>0</v>
      </c>
      <c r="AD22" s="18">
        <f>'Emission Factors'!AQ20</f>
        <v>0</v>
      </c>
      <c r="AE22" s="18">
        <f>'Emission Factors'!AR20</f>
        <v>1.0475931986751259E-5</v>
      </c>
      <c r="AF22" s="18">
        <f>'Emission Factors'!AS20</f>
        <v>1.1046213947776609E-3</v>
      </c>
      <c r="AG22" s="18">
        <f>'Emission Factors'!AT20</f>
        <v>0</v>
      </c>
      <c r="AH22" s="18">
        <f>'Emission Factors'!AU20</f>
        <v>7.0866598733905574E-6</v>
      </c>
      <c r="AI22" s="18">
        <f>'Emission Factors'!AV20</f>
        <v>0</v>
      </c>
      <c r="AJ22" s="18">
        <f>'Emission Factors'!AW20</f>
        <v>3.389272113360702E-6</v>
      </c>
      <c r="AK22" s="18">
        <f>'Emission Factors'!AX20</f>
        <v>2.0666671555822489E-5</v>
      </c>
      <c r="AL22" s="18">
        <f>'Emission Factors'!AY20</f>
        <v>4.5293000060365736E-5</v>
      </c>
      <c r="AM22" s="18">
        <f>'Emission Factors'!AZ20</f>
        <v>0</v>
      </c>
      <c r="AN22" s="18">
        <f>'Emission Factors'!BA20</f>
        <v>0</v>
      </c>
      <c r="AO22" s="18">
        <f>'Emission Factors'!BB20</f>
        <v>0</v>
      </c>
      <c r="AP22" s="18">
        <f>'Emission Factors'!BC20</f>
        <v>0</v>
      </c>
      <c r="AQ22" s="18">
        <f>'Emission Factors'!BD20</f>
        <v>0</v>
      </c>
      <c r="AR22" s="18">
        <f>'Emission Factors'!BE20</f>
        <v>6.2547476273838398E-5</v>
      </c>
      <c r="AS22" s="18">
        <f>'Emission Factors'!BF20</f>
        <v>8.7750455646899218E-5</v>
      </c>
      <c r="AT22" s="18">
        <f>'Emission Factors'!BG20</f>
        <v>0</v>
      </c>
      <c r="AU22" s="18">
        <f>'Emission Factors'!BH20</f>
        <v>7.6720796020619507E-5</v>
      </c>
      <c r="AV22" s="18">
        <f>'Emission Factors'!BI20</f>
        <v>0</v>
      </c>
      <c r="AW22" s="18">
        <f>'Emission Factors'!BJ20</f>
        <v>0</v>
      </c>
      <c r="AX22" s="18">
        <f>'Emission Factors'!BK20</f>
        <v>0</v>
      </c>
      <c r="AY22" s="18">
        <f>'Emission Factors'!BL20</f>
        <v>0</v>
      </c>
      <c r="AZ22" s="18">
        <f>'Emission Factors'!BM20</f>
        <v>0</v>
      </c>
    </row>
    <row r="23" spans="1:52">
      <c r="A23" s="65">
        <f>'Emission Factors'!A21</f>
        <v>44343</v>
      </c>
      <c r="B23" s="96">
        <f>'Emission Factors'!E21</f>
        <v>44343.367361111108</v>
      </c>
      <c r="C23" s="65" t="str">
        <f>'Filter Weights'!E21</f>
        <v>20210527-K</v>
      </c>
      <c r="D23" s="65" t="str">
        <f>CONCATENATE('Emission Factors'!C21," ",'Emission Factors'!D21)</f>
        <v>Wet birch Startup</v>
      </c>
      <c r="E23" s="9">
        <f>'Phase Parameters'!R21</f>
        <v>29.562000000000001</v>
      </c>
      <c r="F23" s="2">
        <f>('Phase CEMS VOC Concentration'!J21-Backgrounds!J21)/('Phase CEMS VOC Concentration'!J21 - Backgrounds!J21+ 'Phase CEMS VOC Concentration'!K21 - Backgrounds!L21)</f>
        <v>0.94167620000896646</v>
      </c>
      <c r="G23" s="25">
        <f>'Phase CEMS VOC Concentration'!J21</f>
        <v>1899.93</v>
      </c>
      <c r="H23" s="9">
        <f>'Phase CEMS VOC Concentration'!K21</f>
        <v>92.449299999999994</v>
      </c>
      <c r="I23" s="9">
        <f>'Phase CEMS VOC Concentration'!L21</f>
        <v>54.931600000000003</v>
      </c>
      <c r="J23" s="9">
        <f>'Filter Weights'!CY21</f>
        <v>10.070924802683912</v>
      </c>
      <c r="K23" s="9">
        <f>'Filter Weights'!EL21</f>
        <v>5.0029489069135389</v>
      </c>
      <c r="L23" s="9">
        <f>'Emission Factors'!Y21</f>
        <v>6.5989711909565445</v>
      </c>
      <c r="M23" s="2">
        <f>'Emission Factors'!Z21</f>
        <v>3.2781811356342994</v>
      </c>
      <c r="N23" s="2">
        <f>'Emission Factors'!AA21</f>
        <v>0.35231618134975801</v>
      </c>
      <c r="O23" s="18">
        <f>'Emission Factors'!AB21</f>
        <v>0</v>
      </c>
      <c r="P23" s="18">
        <f>'Emission Factors'!AC21</f>
        <v>1.0323029193735028E-3</v>
      </c>
      <c r="Q23" s="18">
        <f>'Emission Factors'!AD21</f>
        <v>0</v>
      </c>
      <c r="R23" s="18">
        <f>'Emission Factors'!AE21</f>
        <v>0</v>
      </c>
      <c r="S23" s="18">
        <f>'Emission Factors'!AF21</f>
        <v>0</v>
      </c>
      <c r="T23" s="18">
        <f>'Emission Factors'!AG21</f>
        <v>6.0274502744156197E-3</v>
      </c>
      <c r="U23" s="18">
        <f>'Emission Factors'!AH21</f>
        <v>1.1536025787760454E-2</v>
      </c>
      <c r="V23" s="18">
        <f>'Emission Factors'!AI21</f>
        <v>1.4376471537305386E-2</v>
      </c>
      <c r="W23" s="18">
        <f>'Emission Factors'!AJ21</f>
        <v>1.2787052864229784E-3</v>
      </c>
      <c r="X23" s="18">
        <f>'Emission Factors'!AK21</f>
        <v>0</v>
      </c>
      <c r="Y23" s="18">
        <f>'Emission Factors'!AL21</f>
        <v>0</v>
      </c>
      <c r="Z23" s="18">
        <f>'Emission Factors'!AM21</f>
        <v>4.2225773562105167E-3</v>
      </c>
      <c r="AA23" s="18">
        <f>'Emission Factors'!AN21</f>
        <v>3.7062423069120773E-4</v>
      </c>
      <c r="AB23" s="18">
        <f>'Emission Factors'!AO21</f>
        <v>9.5926730183229572E-3</v>
      </c>
      <c r="AC23" s="18">
        <f>'Emission Factors'!AP21</f>
        <v>0</v>
      </c>
      <c r="AD23" s="18">
        <f>'Emission Factors'!AQ21</f>
        <v>7.5530386304618739E-4</v>
      </c>
      <c r="AE23" s="18">
        <f>'Emission Factors'!AR21</f>
        <v>0</v>
      </c>
      <c r="AF23" s="18">
        <f>'Emission Factors'!AS21</f>
        <v>4.6796155289830629E-3</v>
      </c>
      <c r="AG23" s="18">
        <f>'Emission Factors'!AT21</f>
        <v>2.6651637635308773E-5</v>
      </c>
      <c r="AH23" s="18">
        <f>'Emission Factors'!AU21</f>
        <v>0</v>
      </c>
      <c r="AI23" s="18">
        <f>'Emission Factors'!AV21</f>
        <v>0</v>
      </c>
      <c r="AJ23" s="18">
        <f>'Emission Factors'!AW21</f>
        <v>8.7526930819698475E-5</v>
      </c>
      <c r="AK23" s="18">
        <f>'Emission Factors'!AX21</f>
        <v>8.4330251473166835E-5</v>
      </c>
      <c r="AL23" s="18">
        <f>'Emission Factors'!AY21</f>
        <v>5.7922233630682819E-5</v>
      </c>
      <c r="AM23" s="18">
        <f>'Emission Factors'!AZ21</f>
        <v>0</v>
      </c>
      <c r="AN23" s="18">
        <f>'Emission Factors'!BA21</f>
        <v>0</v>
      </c>
      <c r="AO23" s="18">
        <f>'Emission Factors'!BB21</f>
        <v>0</v>
      </c>
      <c r="AP23" s="18">
        <f>'Emission Factors'!BC21</f>
        <v>0</v>
      </c>
      <c r="AQ23" s="18">
        <f>'Emission Factors'!BD21</f>
        <v>5.7922233630682819E-5</v>
      </c>
      <c r="AR23" s="18">
        <f>'Emission Factors'!BE21</f>
        <v>8.7526930819698475E-5</v>
      </c>
      <c r="AS23" s="18">
        <f>'Emission Factors'!BF21</f>
        <v>0</v>
      </c>
      <c r="AT23" s="18">
        <f>'Emission Factors'!BG21</f>
        <v>1.1056710819723676E-3</v>
      </c>
      <c r="AU23" s="18">
        <f>'Emission Factors'!BH21</f>
        <v>0</v>
      </c>
      <c r="AV23" s="18">
        <f>'Emission Factors'!BI21</f>
        <v>0</v>
      </c>
      <c r="AW23" s="18">
        <f>'Emission Factors'!BJ21</f>
        <v>0</v>
      </c>
      <c r="AX23" s="18">
        <f>'Emission Factors'!BK21</f>
        <v>3.7631536260352258E-5</v>
      </c>
      <c r="AY23" s="18">
        <f>'Emission Factors'!BL21</f>
        <v>5.7922233630682819E-5</v>
      </c>
      <c r="AZ23" s="18">
        <f>'Emission Factors'!BM21</f>
        <v>2.9579107085124517E-4</v>
      </c>
    </row>
    <row r="24" spans="1:52">
      <c r="A24" s="65">
        <f>'Emission Factors'!A22</f>
        <v>44343</v>
      </c>
      <c r="B24" s="96">
        <f>'Emission Factors'!E22</f>
        <v>44343.403819444444</v>
      </c>
      <c r="C24" s="65" t="str">
        <f>'Filter Weights'!E22</f>
        <v>20210527-LF</v>
      </c>
      <c r="D24" s="65" t="str">
        <f>CONCATENATE('Emission Factors'!C22," ",'Emission Factors'!D22)</f>
        <v>Wet birch Low</v>
      </c>
      <c r="E24" s="9">
        <f>'Phase Parameters'!R22</f>
        <v>25.526499999999999</v>
      </c>
      <c r="F24" s="2">
        <f>('Phase CEMS VOC Concentration'!J22-Backgrounds!J22)/('Phase CEMS VOC Concentration'!J22 - Backgrounds!J22+ 'Phase CEMS VOC Concentration'!K22 - Backgrounds!L22)</f>
        <v>0.98836457123550858</v>
      </c>
      <c r="G24" s="25">
        <f>'Phase CEMS VOC Concentration'!J22</f>
        <v>1047.93</v>
      </c>
      <c r="H24" s="9">
        <f>'Phase CEMS VOC Concentration'!K22</f>
        <v>7.7521800000000001</v>
      </c>
      <c r="I24" s="9">
        <f>'Phase CEMS VOC Concentration'!L22</f>
        <v>20.703700000000001</v>
      </c>
      <c r="J24" s="9">
        <f>'Filter Weights'!CY22</f>
        <v>0.44300611281516655</v>
      </c>
      <c r="K24" s="9">
        <f>'Filter Weights'!EL22</f>
        <v>0.20079310685850055</v>
      </c>
      <c r="L24" s="9">
        <f>'Emission Factors'!Y22</f>
        <v>0.69811283503735588</v>
      </c>
      <c r="M24" s="2">
        <f>'Emission Factors'!Z22</f>
        <v>0.31642056628557552</v>
      </c>
      <c r="N24" s="2">
        <f>'Emission Factors'!AA22</f>
        <v>2.8957355883731859E-2</v>
      </c>
      <c r="O24" s="18">
        <f>'Emission Factors'!AB22</f>
        <v>0</v>
      </c>
      <c r="P24" s="18">
        <f>'Emission Factors'!AC22</f>
        <v>4.8373276286158218E-4</v>
      </c>
      <c r="Q24" s="18">
        <f>'Emission Factors'!AD22</f>
        <v>0</v>
      </c>
      <c r="R24" s="18">
        <f>'Emission Factors'!AE22</f>
        <v>0</v>
      </c>
      <c r="S24" s="18">
        <f>'Emission Factors'!AF22</f>
        <v>7.8731085414465732E-5</v>
      </c>
      <c r="T24" s="18">
        <f>'Emission Factors'!AG22</f>
        <v>4.4327546297615429E-3</v>
      </c>
      <c r="U24" s="18">
        <f>'Emission Factors'!AH22</f>
        <v>3.5918902539328829E-3</v>
      </c>
      <c r="V24" s="18">
        <f>'Emission Factors'!AI22</f>
        <v>1.0828531888407366E-2</v>
      </c>
      <c r="W24" s="18">
        <f>'Emission Factors'!AJ22</f>
        <v>0</v>
      </c>
      <c r="X24" s="18">
        <f>'Emission Factors'!AK22</f>
        <v>0</v>
      </c>
      <c r="Y24" s="18">
        <f>'Emission Factors'!AL22</f>
        <v>1.0863219245240285E-5</v>
      </c>
      <c r="Z24" s="18">
        <f>'Emission Factors'!AM22</f>
        <v>1.1100523790249991E-3</v>
      </c>
      <c r="AA24" s="18">
        <f>'Emission Factors'!AN22</f>
        <v>0</v>
      </c>
      <c r="AB24" s="18">
        <f>'Emission Factors'!AO22</f>
        <v>0</v>
      </c>
      <c r="AC24" s="18">
        <f>'Emission Factors'!AP22</f>
        <v>0</v>
      </c>
      <c r="AD24" s="18">
        <f>'Emission Factors'!AQ22</f>
        <v>0</v>
      </c>
      <c r="AE24" s="18">
        <f>'Emission Factors'!AR22</f>
        <v>0</v>
      </c>
      <c r="AF24" s="18">
        <f>'Emission Factors'!AS22</f>
        <v>6.8164744314482039E-4</v>
      </c>
      <c r="AG24" s="18">
        <f>'Emission Factors'!AT22</f>
        <v>0</v>
      </c>
      <c r="AH24" s="18">
        <f>'Emission Factors'!AU22</f>
        <v>0</v>
      </c>
      <c r="AI24" s="18">
        <f>'Emission Factors'!AV22</f>
        <v>0</v>
      </c>
      <c r="AJ24" s="18">
        <f>'Emission Factors'!AW22</f>
        <v>0</v>
      </c>
      <c r="AK24" s="18">
        <f>'Emission Factors'!AX22</f>
        <v>0</v>
      </c>
      <c r="AL24" s="18">
        <f>'Emission Factors'!AY22</f>
        <v>4.3452876980961141E-5</v>
      </c>
      <c r="AM24" s="18">
        <f>'Emission Factors'!AZ22</f>
        <v>0</v>
      </c>
      <c r="AN24" s="18">
        <f>'Emission Factors'!BA22</f>
        <v>0</v>
      </c>
      <c r="AO24" s="18">
        <f>'Emission Factors'!BB22</f>
        <v>0</v>
      </c>
      <c r="AP24" s="18">
        <f>'Emission Factors'!BC22</f>
        <v>0</v>
      </c>
      <c r="AQ24" s="18">
        <f>'Emission Factors'!BD22</f>
        <v>0</v>
      </c>
      <c r="AR24" s="18">
        <f>'Emission Factors'!BE22</f>
        <v>0</v>
      </c>
      <c r="AS24" s="18">
        <f>'Emission Factors'!BF22</f>
        <v>0</v>
      </c>
      <c r="AT24" s="18">
        <f>'Emission Factors'!BG22</f>
        <v>6.4859809023052269E-5</v>
      </c>
      <c r="AU24" s="18">
        <f>'Emission Factors'!BH22</f>
        <v>0</v>
      </c>
      <c r="AV24" s="18">
        <f>'Emission Factors'!BI22</f>
        <v>2.8883382934403583E-4</v>
      </c>
      <c r="AW24" s="18">
        <f>'Emission Factors'!BJ22</f>
        <v>0</v>
      </c>
      <c r="AX24" s="18">
        <f>'Emission Factors'!BK22</f>
        <v>0</v>
      </c>
      <c r="AY24" s="18">
        <f>'Emission Factors'!BL22</f>
        <v>0</v>
      </c>
      <c r="AZ24" s="18">
        <f>'Emission Factors'!BM22</f>
        <v>0</v>
      </c>
    </row>
    <row r="25" spans="1:52">
      <c r="A25" s="65">
        <f>'Emission Factors'!A23</f>
        <v>44348</v>
      </c>
      <c r="B25" s="96">
        <f>'Emission Factors'!E23</f>
        <v>44348.375694444447</v>
      </c>
      <c r="C25" s="65" t="str">
        <f>'Filter Weights'!E23</f>
        <v>20210601-K</v>
      </c>
      <c r="D25" s="65" t="str">
        <f>CONCATENATE('Emission Factors'!C23," ",'Emission Factors'!D23)</f>
        <v>Wet birch Startup</v>
      </c>
      <c r="E25" s="9">
        <f>'Phase Parameters'!R23</f>
        <v>29.490100000000002</v>
      </c>
      <c r="F25" s="2">
        <f>('Phase CEMS VOC Concentration'!J23-Backgrounds!J23)/('Phase CEMS VOC Concentration'!J23 - Backgrounds!J23+ 'Phase CEMS VOC Concentration'!K23 - Backgrounds!L23)</f>
        <v>0.96160243183631067</v>
      </c>
      <c r="G25" s="25">
        <f>'Phase CEMS VOC Concentration'!J23</f>
        <v>2986.97</v>
      </c>
      <c r="H25" s="9">
        <f>'Phase CEMS VOC Concentration'!K23</f>
        <v>101.94799999999999</v>
      </c>
      <c r="I25" s="9">
        <f>'Phase CEMS VOC Concentration'!L23</f>
        <v>47.512700000000002</v>
      </c>
      <c r="J25" s="9">
        <f>'Filter Weights'!CY23</f>
        <v>7.701914164385407</v>
      </c>
      <c r="K25" s="9">
        <f>'Filter Weights'!EL23</f>
        <v>2.9842874908345705</v>
      </c>
      <c r="L25" s="9">
        <f>'Emission Factors'!Y23</f>
        <v>3.0729072460308626</v>
      </c>
      <c r="M25" s="2">
        <f>'Emission Factors'!Z23</f>
        <v>1.1906700670893013</v>
      </c>
      <c r="N25" s="2">
        <f>'Emission Factors'!AA23</f>
        <v>0.40903247014085459</v>
      </c>
      <c r="O25" s="18">
        <f>'Emission Factors'!AB23</f>
        <v>0</v>
      </c>
      <c r="P25" s="18">
        <f>'Emission Factors'!AC23</f>
        <v>0</v>
      </c>
      <c r="Q25" s="18">
        <f>'Emission Factors'!AD23</f>
        <v>0</v>
      </c>
      <c r="R25" s="18">
        <f>'Emission Factors'!AE23</f>
        <v>6.0230027108369494E-4</v>
      </c>
      <c r="S25" s="18">
        <f>'Emission Factors'!AF23</f>
        <v>4.6052780494511745E-5</v>
      </c>
      <c r="T25" s="18">
        <f>'Emission Factors'!AG23</f>
        <v>4.9742020693757808E-3</v>
      </c>
      <c r="U25" s="18">
        <f>'Emission Factors'!AH23</f>
        <v>6.1181839107864525E-3</v>
      </c>
      <c r="V25" s="18">
        <f>'Emission Factors'!AI23</f>
        <v>1.6467434449899187E-2</v>
      </c>
      <c r="W25" s="18">
        <f>'Emission Factors'!AJ23</f>
        <v>7.2498635736931659E-4</v>
      </c>
      <c r="X25" s="18">
        <f>'Emission Factors'!AK23</f>
        <v>0</v>
      </c>
      <c r="Y25" s="18">
        <f>'Emission Factors'!AL23</f>
        <v>0</v>
      </c>
      <c r="Z25" s="18">
        <f>'Emission Factors'!AM23</f>
        <v>1.8294728754860187E-5</v>
      </c>
      <c r="AA25" s="18">
        <f>'Emission Factors'!AN23</f>
        <v>0</v>
      </c>
      <c r="AB25" s="18">
        <f>'Emission Factors'!AO23</f>
        <v>4.876268731346676E-4</v>
      </c>
      <c r="AC25" s="18">
        <f>'Emission Factors'!AP23</f>
        <v>0</v>
      </c>
      <c r="AD25" s="18">
        <f>'Emission Factors'!AQ23</f>
        <v>0</v>
      </c>
      <c r="AE25" s="18">
        <f>'Emission Factors'!AR23</f>
        <v>0</v>
      </c>
      <c r="AF25" s="18">
        <f>'Emission Factors'!AS23</f>
        <v>1.89274112832853E-3</v>
      </c>
      <c r="AG25" s="18">
        <f>'Emission Factors'!AT23</f>
        <v>0</v>
      </c>
      <c r="AH25" s="18">
        <f>'Emission Factors'!AU23</f>
        <v>0</v>
      </c>
      <c r="AI25" s="18">
        <f>'Emission Factors'!AV23</f>
        <v>0</v>
      </c>
      <c r="AJ25" s="18">
        <f>'Emission Factors'!AW23</f>
        <v>0</v>
      </c>
      <c r="AK25" s="18">
        <f>'Emission Factors'!AX23</f>
        <v>0</v>
      </c>
      <c r="AL25" s="18">
        <f>'Emission Factors'!AY23</f>
        <v>0</v>
      </c>
      <c r="AM25" s="18">
        <f>'Emission Factors'!AZ23</f>
        <v>0</v>
      </c>
      <c r="AN25" s="18">
        <f>'Emission Factors'!BA23</f>
        <v>9.3733517603212331E-5</v>
      </c>
      <c r="AO25" s="18">
        <f>'Emission Factors'!BB23</f>
        <v>0</v>
      </c>
      <c r="AP25" s="18">
        <f>'Emission Factors'!BC23</f>
        <v>2.4291806985130404E-5</v>
      </c>
      <c r="AQ25" s="18">
        <f>'Emission Factors'!BD23</f>
        <v>0</v>
      </c>
      <c r="AR25" s="18">
        <f>'Emission Factors'!BE23</f>
        <v>0</v>
      </c>
      <c r="AS25" s="18">
        <f>'Emission Factors'!BF23</f>
        <v>8.1715834937954614E-4</v>
      </c>
      <c r="AT25" s="18">
        <f>'Emission Factors'!BG23</f>
        <v>1.2985075006596979E-3</v>
      </c>
      <c r="AU25" s="18">
        <f>'Emission Factors'!BH23</f>
        <v>0</v>
      </c>
      <c r="AV25" s="18">
        <f>'Emission Factors'!BI23</f>
        <v>0</v>
      </c>
      <c r="AW25" s="18">
        <f>'Emission Factors'!BJ23</f>
        <v>0</v>
      </c>
      <c r="AX25" s="18">
        <f>'Emission Factors'!BK23</f>
        <v>0</v>
      </c>
      <c r="AY25" s="18">
        <f>'Emission Factors'!BL23</f>
        <v>0</v>
      </c>
      <c r="AZ25" s="18">
        <f>'Emission Factors'!BM23</f>
        <v>0</v>
      </c>
    </row>
    <row r="26" spans="1:52">
      <c r="A26" s="65">
        <f>'Emission Factors'!A24</f>
        <v>44348</v>
      </c>
      <c r="B26" s="96">
        <f>'Emission Factors'!E24</f>
        <v>44348.390972222223</v>
      </c>
      <c r="C26" s="65" t="str">
        <f>'Filter Weights'!E24</f>
        <v>20210601-HF</v>
      </c>
      <c r="D26" s="65" t="str">
        <f>CONCATENATE('Emission Factors'!C24," ",'Emission Factors'!D24)</f>
        <v>Wet birch High</v>
      </c>
      <c r="E26" s="9">
        <f>'Phase Parameters'!R24</f>
        <v>27.4787</v>
      </c>
      <c r="F26" s="2">
        <f>('Phase CEMS VOC Concentration'!J24-Backgrounds!J24)/('Phase CEMS VOC Concentration'!J24 - Backgrounds!J24+ 'Phase CEMS VOC Concentration'!K24 - Backgrounds!L24)</f>
        <v>0.97693531118362154</v>
      </c>
      <c r="G26" s="25">
        <f>'Phase CEMS VOC Concentration'!J24</f>
        <v>1494.19</v>
      </c>
      <c r="H26" s="9">
        <f>'Phase CEMS VOC Concentration'!K24</f>
        <v>25.254300000000001</v>
      </c>
      <c r="I26" s="9">
        <f>'Phase CEMS VOC Concentration'!L24</f>
        <v>32.2224</v>
      </c>
      <c r="J26" s="9">
        <f>'Filter Weights'!CY24</f>
        <v>2.6768028183828521</v>
      </c>
      <c r="K26" s="9">
        <f>'Filter Weights'!EL24</f>
        <v>1.0907170312589973</v>
      </c>
      <c r="L26" s="9">
        <f>'Emission Factors'!Y24</f>
        <v>2.5709549079201568</v>
      </c>
      <c r="M26" s="2">
        <f>'Emission Factors'!Z24</f>
        <v>1.047587175794116</v>
      </c>
      <c r="N26" s="2">
        <f>'Emission Factors'!AA24</f>
        <v>0.18615768441390929</v>
      </c>
      <c r="O26" s="18">
        <f>'Emission Factors'!AB24</f>
        <v>0</v>
      </c>
      <c r="P26" s="18">
        <f>'Emission Factors'!AC24</f>
        <v>0</v>
      </c>
      <c r="Q26" s="18">
        <f>'Emission Factors'!AD24</f>
        <v>0</v>
      </c>
      <c r="R26" s="18">
        <f>'Emission Factors'!AE24</f>
        <v>0</v>
      </c>
      <c r="S26" s="18">
        <f>'Emission Factors'!AF24</f>
        <v>0</v>
      </c>
      <c r="T26" s="18">
        <f>'Emission Factors'!AG24</f>
        <v>7.3186691682750942E-3</v>
      </c>
      <c r="U26" s="18">
        <f>'Emission Factors'!AH24</f>
        <v>7.9489378605252757E-3</v>
      </c>
      <c r="V26" s="18">
        <f>'Emission Factors'!AI24</f>
        <v>1.1929757650341379E-2</v>
      </c>
      <c r="W26" s="18">
        <f>'Emission Factors'!AJ24</f>
        <v>0</v>
      </c>
      <c r="X26" s="18">
        <f>'Emission Factors'!AK24</f>
        <v>0</v>
      </c>
      <c r="Y26" s="18">
        <f>'Emission Factors'!AL24</f>
        <v>0</v>
      </c>
      <c r="Z26" s="18">
        <f>'Emission Factors'!AM24</f>
        <v>2.3540524572829299E-4</v>
      </c>
      <c r="AA26" s="18">
        <f>'Emission Factors'!AN24</f>
        <v>0</v>
      </c>
      <c r="AB26" s="18">
        <f>'Emission Factors'!AO24</f>
        <v>0</v>
      </c>
      <c r="AC26" s="18">
        <f>'Emission Factors'!AP24</f>
        <v>0</v>
      </c>
      <c r="AD26" s="18">
        <f>'Emission Factors'!AQ24</f>
        <v>0</v>
      </c>
      <c r="AE26" s="18">
        <f>'Emission Factors'!AR24</f>
        <v>0</v>
      </c>
      <c r="AF26" s="18">
        <f>'Emission Factors'!AS24</f>
        <v>2.5405126154431287E-3</v>
      </c>
      <c r="AG26" s="18">
        <f>'Emission Factors'!AT24</f>
        <v>0</v>
      </c>
      <c r="AH26" s="18">
        <f>'Emission Factors'!AU24</f>
        <v>0</v>
      </c>
      <c r="AI26" s="18">
        <f>'Emission Factors'!AV24</f>
        <v>0</v>
      </c>
      <c r="AJ26" s="18">
        <f>'Emission Factors'!AW24</f>
        <v>0</v>
      </c>
      <c r="AK26" s="18">
        <f>'Emission Factors'!AX24</f>
        <v>2.3060912694328412E-5</v>
      </c>
      <c r="AL26" s="18">
        <f>'Emission Factors'!AY24</f>
        <v>4.4592697488613838E-5</v>
      </c>
      <c r="AM26" s="18">
        <f>'Emission Factors'!AZ24</f>
        <v>0</v>
      </c>
      <c r="AN26" s="18">
        <f>'Emission Factors'!BA24</f>
        <v>0</v>
      </c>
      <c r="AO26" s="18">
        <f>'Emission Factors'!BB24</f>
        <v>0</v>
      </c>
      <c r="AP26" s="18">
        <f>'Emission Factors'!BC24</f>
        <v>0</v>
      </c>
      <c r="AQ26" s="18">
        <f>'Emission Factors'!BD24</f>
        <v>0</v>
      </c>
      <c r="AR26" s="18">
        <f>'Emission Factors'!BE24</f>
        <v>0</v>
      </c>
      <c r="AS26" s="18">
        <f>'Emission Factors'!BF24</f>
        <v>0</v>
      </c>
      <c r="AT26" s="18">
        <f>'Emission Factors'!BG24</f>
        <v>0</v>
      </c>
      <c r="AU26" s="18">
        <f>'Emission Factors'!BH24</f>
        <v>0</v>
      </c>
      <c r="AV26" s="18">
        <f>'Emission Factors'!BI24</f>
        <v>0</v>
      </c>
      <c r="AW26" s="18">
        <f>'Emission Factors'!BJ24</f>
        <v>6.143882765097906E-5</v>
      </c>
      <c r="AX26" s="18">
        <f>'Emission Factors'!BK24</f>
        <v>4.155028154425756E-5</v>
      </c>
      <c r="AY26" s="18">
        <f>'Emission Factors'!BL24</f>
        <v>0</v>
      </c>
      <c r="AZ26" s="18">
        <f>'Emission Factors'!BM24</f>
        <v>2.0110229033330603E-5</v>
      </c>
    </row>
    <row r="28" spans="1:52">
      <c r="B28" s="173"/>
      <c r="E28" s="301"/>
      <c r="F28" s="301"/>
      <c r="G28" s="301"/>
      <c r="H28" s="301"/>
      <c r="I28" s="301"/>
      <c r="J28" s="301"/>
      <c r="K28" s="301"/>
      <c r="L28" s="301"/>
      <c r="M28" s="301"/>
    </row>
    <row r="29" spans="1:52">
      <c r="B29" s="173"/>
      <c r="E29" s="295"/>
      <c r="F29" s="295"/>
      <c r="G29" s="295"/>
      <c r="H29" s="295"/>
      <c r="I29" s="295"/>
      <c r="J29" s="295"/>
      <c r="K29" s="295"/>
      <c r="L29" s="295"/>
      <c r="M29" s="295"/>
    </row>
    <row r="30" spans="1:52">
      <c r="B30" s="173"/>
      <c r="C30" s="65"/>
      <c r="D30" s="65"/>
      <c r="E30" s="188"/>
      <c r="F30" s="188"/>
      <c r="G30" s="188"/>
      <c r="H30" s="188"/>
      <c r="I30" s="188"/>
      <c r="J30" s="188"/>
      <c r="K30" s="188"/>
      <c r="L30" s="188"/>
      <c r="M30" s="188"/>
      <c r="N30" s="30"/>
    </row>
    <row r="31" spans="1:52">
      <c r="B31" s="173"/>
      <c r="C31" s="65"/>
      <c r="D31" s="65"/>
      <c r="E31" s="188"/>
      <c r="F31" s="188"/>
      <c r="G31" s="188"/>
      <c r="H31" s="188"/>
      <c r="I31" s="188"/>
      <c r="J31" s="188"/>
      <c r="K31" s="188"/>
      <c r="L31" s="188"/>
      <c r="M31" s="188"/>
    </row>
    <row r="32" spans="1:52">
      <c r="B32" s="173"/>
      <c r="C32" s="65"/>
      <c r="D32" s="65"/>
      <c r="E32" s="188"/>
      <c r="F32" s="188"/>
      <c r="G32" s="188"/>
      <c r="H32" s="188"/>
      <c r="I32" s="188"/>
      <c r="J32" s="188"/>
      <c r="K32" s="188"/>
      <c r="L32" s="188"/>
      <c r="M32" s="188"/>
    </row>
    <row r="33" spans="2:13">
      <c r="B33" s="173"/>
      <c r="C33" s="65"/>
      <c r="D33" s="65"/>
      <c r="E33" s="188"/>
      <c r="F33" s="188"/>
      <c r="G33" s="188"/>
      <c r="H33" s="188"/>
      <c r="I33" s="188"/>
      <c r="J33" s="188"/>
      <c r="K33" s="188"/>
      <c r="L33" s="188"/>
      <c r="M33" s="188"/>
    </row>
    <row r="34" spans="2:13">
      <c r="B34" s="173"/>
      <c r="C34" s="65"/>
      <c r="D34" s="65"/>
      <c r="E34" s="188"/>
      <c r="F34" s="188"/>
      <c r="G34" s="188"/>
      <c r="H34" s="188"/>
      <c r="I34" s="188"/>
      <c r="J34" s="188"/>
      <c r="K34" s="188"/>
      <c r="L34" s="188"/>
      <c r="M34" s="188"/>
    </row>
    <row r="35" spans="2:13">
      <c r="B35" s="173"/>
      <c r="C35" s="65"/>
      <c r="D35" s="65"/>
      <c r="E35" s="188"/>
      <c r="F35" s="188"/>
      <c r="G35" s="188"/>
      <c r="H35" s="188"/>
      <c r="I35" s="188"/>
      <c r="J35" s="188"/>
      <c r="K35" s="188"/>
      <c r="L35" s="188"/>
      <c r="M35" s="188"/>
    </row>
    <row r="36" spans="2:13">
      <c r="B36" s="173"/>
      <c r="C36" s="65"/>
      <c r="D36" s="65"/>
      <c r="E36" s="188"/>
      <c r="F36" s="188"/>
      <c r="G36" s="188"/>
      <c r="H36" s="188"/>
      <c r="I36" s="188"/>
      <c r="J36" s="188"/>
      <c r="K36" s="188"/>
      <c r="L36" s="188"/>
      <c r="M36" s="188"/>
    </row>
    <row r="37" spans="2:13">
      <c r="B37" s="173"/>
      <c r="C37" s="65"/>
      <c r="D37" s="65"/>
      <c r="E37" s="188"/>
      <c r="F37" s="188"/>
      <c r="G37" s="188"/>
      <c r="H37" s="188"/>
      <c r="I37" s="188"/>
      <c r="J37" s="188"/>
      <c r="K37" s="188"/>
      <c r="L37" s="188"/>
      <c r="M37" s="188"/>
    </row>
    <row r="38" spans="2:13">
      <c r="B38" s="173"/>
      <c r="C38" s="65"/>
      <c r="D38" s="65"/>
      <c r="E38" s="188"/>
      <c r="F38" s="188"/>
      <c r="G38" s="188"/>
      <c r="H38" s="188"/>
      <c r="I38" s="188"/>
      <c r="J38" s="188"/>
      <c r="K38" s="188"/>
      <c r="L38" s="188"/>
      <c r="M38" s="188"/>
    </row>
    <row r="39" spans="2:13">
      <c r="B39" s="173"/>
      <c r="C39" s="65"/>
      <c r="D39" s="65"/>
      <c r="E39" s="188"/>
      <c r="F39" s="188"/>
      <c r="G39" s="188"/>
      <c r="H39" s="188"/>
      <c r="I39" s="188"/>
      <c r="J39" s="188"/>
      <c r="K39" s="188"/>
      <c r="L39" s="188"/>
      <c r="M39" s="188"/>
    </row>
    <row r="40" spans="2:13">
      <c r="B40" s="173"/>
      <c r="C40" s="65"/>
      <c r="D40" s="65"/>
      <c r="E40" s="188"/>
      <c r="F40" s="188"/>
      <c r="G40" s="188"/>
      <c r="H40" s="188"/>
      <c r="I40" s="188"/>
      <c r="J40" s="188"/>
      <c r="K40" s="188"/>
      <c r="L40" s="188"/>
      <c r="M40" s="188"/>
    </row>
    <row r="41" spans="2:13">
      <c r="B41" s="173"/>
      <c r="C41" s="65"/>
      <c r="D41" s="65"/>
      <c r="E41" s="188"/>
      <c r="F41" s="188"/>
      <c r="G41" s="188"/>
      <c r="H41" s="188"/>
      <c r="I41" s="188"/>
      <c r="J41" s="188"/>
      <c r="K41" s="188"/>
      <c r="L41" s="188"/>
      <c r="M41" s="188"/>
    </row>
    <row r="42" spans="2:13">
      <c r="B42" s="173"/>
      <c r="C42" s="65"/>
      <c r="D42" s="65"/>
      <c r="E42" s="188"/>
      <c r="F42" s="188"/>
      <c r="G42" s="188"/>
      <c r="H42" s="188"/>
      <c r="I42" s="188"/>
      <c r="J42" s="188"/>
      <c r="K42" s="188"/>
      <c r="L42" s="188"/>
      <c r="M42" s="188"/>
    </row>
    <row r="43" spans="2:13">
      <c r="B43" s="173"/>
      <c r="C43" s="65"/>
      <c r="D43" s="65"/>
      <c r="E43" s="188"/>
      <c r="F43" s="188"/>
      <c r="G43" s="188"/>
      <c r="H43" s="188"/>
      <c r="I43" s="188"/>
      <c r="J43" s="188"/>
      <c r="K43" s="188"/>
      <c r="L43" s="188"/>
      <c r="M43" s="188"/>
    </row>
    <row r="44" spans="2:13">
      <c r="B44" s="173"/>
      <c r="C44" s="65"/>
      <c r="D44" s="65"/>
      <c r="E44" s="188"/>
      <c r="F44" s="188"/>
      <c r="G44" s="188"/>
      <c r="H44" s="188"/>
      <c r="I44" s="188"/>
      <c r="J44" s="188"/>
      <c r="K44" s="188"/>
      <c r="L44" s="188"/>
      <c r="M44" s="188"/>
    </row>
    <row r="45" spans="2:13">
      <c r="B45" s="173"/>
      <c r="C45" s="65"/>
      <c r="D45" s="65"/>
      <c r="E45" s="188"/>
      <c r="F45" s="188"/>
      <c r="G45" s="188"/>
      <c r="H45" s="188"/>
      <c r="I45" s="188"/>
      <c r="J45" s="188"/>
      <c r="K45" s="188"/>
      <c r="L45" s="188"/>
      <c r="M45" s="188"/>
    </row>
    <row r="46" spans="2:13">
      <c r="B46" s="173"/>
      <c r="C46" s="65"/>
      <c r="D46" s="65"/>
      <c r="E46" s="188"/>
      <c r="F46" s="188"/>
      <c r="G46" s="188"/>
      <c r="H46" s="188"/>
      <c r="I46" s="188"/>
      <c r="J46" s="188"/>
      <c r="K46" s="188"/>
      <c r="L46" s="188"/>
      <c r="M46" s="188"/>
    </row>
    <row r="47" spans="2:13">
      <c r="B47" s="173"/>
      <c r="C47" s="65"/>
      <c r="D47" s="65"/>
      <c r="E47" s="188"/>
      <c r="F47" s="188"/>
      <c r="G47" s="188"/>
      <c r="H47" s="188"/>
      <c r="I47" s="188"/>
      <c r="J47" s="188"/>
      <c r="K47" s="188"/>
      <c r="L47" s="188"/>
      <c r="M47" s="188"/>
    </row>
    <row r="48" spans="2:13">
      <c r="B48" s="173"/>
      <c r="C48" s="65"/>
      <c r="D48" s="65"/>
      <c r="E48" s="188"/>
      <c r="F48" s="188"/>
      <c r="G48" s="188"/>
      <c r="H48" s="188"/>
      <c r="I48" s="188"/>
      <c r="J48" s="188"/>
      <c r="K48" s="188"/>
      <c r="L48" s="188"/>
      <c r="M48" s="188"/>
    </row>
    <row r="49" spans="2:21">
      <c r="B49" s="173"/>
      <c r="C49" s="65"/>
      <c r="D49" s="65"/>
      <c r="E49" s="188"/>
      <c r="F49" s="188"/>
      <c r="G49" s="188"/>
      <c r="H49" s="188"/>
      <c r="I49" s="188"/>
      <c r="J49" s="188"/>
      <c r="K49" s="188"/>
      <c r="L49" s="188"/>
      <c r="M49" s="188"/>
    </row>
    <row r="50" spans="2:21">
      <c r="B50" s="173"/>
      <c r="C50" s="65"/>
      <c r="D50" s="65"/>
      <c r="E50" s="188"/>
      <c r="F50" s="188"/>
      <c r="G50" s="188"/>
      <c r="H50" s="188"/>
      <c r="I50" s="188"/>
      <c r="J50" s="188"/>
      <c r="K50" s="188"/>
      <c r="L50" s="188"/>
      <c r="M50" s="188"/>
    </row>
    <row r="51" spans="2:21">
      <c r="B51" s="173"/>
      <c r="C51" s="65"/>
      <c r="D51" s="65"/>
      <c r="E51" s="188"/>
      <c r="F51" s="188"/>
      <c r="G51" s="188"/>
      <c r="H51" s="188"/>
      <c r="I51" s="188"/>
      <c r="J51" s="188"/>
      <c r="K51" s="188"/>
      <c r="L51" s="188"/>
      <c r="M51" s="188"/>
    </row>
    <row r="52" spans="2:21">
      <c r="B52" s="173"/>
      <c r="C52" s="173"/>
      <c r="D52" s="173"/>
    </row>
    <row r="53" spans="2:21">
      <c r="B53" s="173"/>
      <c r="E53" s="301"/>
      <c r="F53" s="301"/>
      <c r="G53" s="301"/>
      <c r="H53" s="301"/>
      <c r="I53" s="301"/>
      <c r="J53" s="301"/>
      <c r="K53" s="301"/>
      <c r="L53" s="301"/>
      <c r="M53" s="301"/>
    </row>
    <row r="54" spans="2:21">
      <c r="E54" s="295"/>
      <c r="F54" s="295"/>
      <c r="G54" s="295"/>
      <c r="H54" s="295"/>
      <c r="I54" s="295"/>
      <c r="J54" s="295"/>
      <c r="K54" s="295"/>
      <c r="L54" s="295"/>
      <c r="M54" s="295"/>
    </row>
    <row r="55" spans="2:21">
      <c r="C55" s="65"/>
      <c r="D55" s="65"/>
      <c r="E55" s="188"/>
      <c r="F55" s="188"/>
      <c r="G55" s="188"/>
      <c r="H55" s="188"/>
      <c r="I55" s="188"/>
      <c r="J55" s="188"/>
      <c r="K55" s="188"/>
      <c r="L55" s="188"/>
      <c r="M55" s="188"/>
      <c r="N55" s="2"/>
      <c r="O55" s="188"/>
      <c r="P55" s="188"/>
      <c r="Q55" s="188"/>
      <c r="R55" s="188"/>
      <c r="S55" s="188"/>
      <c r="T55" s="188"/>
      <c r="U55" s="30"/>
    </row>
    <row r="56" spans="2:21">
      <c r="C56" s="65"/>
      <c r="D56" s="65"/>
      <c r="E56" s="188"/>
      <c r="F56" s="188"/>
      <c r="G56" s="188"/>
      <c r="H56" s="188"/>
      <c r="I56" s="188"/>
      <c r="J56" s="188"/>
      <c r="K56" s="188"/>
      <c r="L56" s="188"/>
      <c r="M56" s="188"/>
      <c r="N56" s="2"/>
      <c r="O56" s="188"/>
      <c r="P56" s="188"/>
      <c r="Q56" s="188"/>
      <c r="R56" s="188"/>
      <c r="S56" s="188"/>
      <c r="T56" s="188"/>
      <c r="U56" s="30"/>
    </row>
    <row r="57" spans="2:21">
      <c r="B57" s="173"/>
      <c r="C57" s="65"/>
      <c r="D57" s="65"/>
      <c r="E57" s="188"/>
      <c r="F57" s="188"/>
      <c r="G57" s="188"/>
      <c r="H57" s="188"/>
      <c r="I57" s="188"/>
      <c r="J57" s="188"/>
      <c r="K57" s="188"/>
      <c r="L57" s="188"/>
      <c r="M57" s="188"/>
      <c r="N57" s="2"/>
      <c r="O57" s="188"/>
      <c r="P57" s="188"/>
      <c r="Q57" s="188"/>
      <c r="R57" s="188"/>
      <c r="S57" s="188"/>
      <c r="T57" s="188"/>
      <c r="U57" s="30"/>
    </row>
    <row r="58" spans="2:21">
      <c r="B58" s="173"/>
      <c r="C58" s="65"/>
      <c r="D58" s="65"/>
      <c r="E58" s="188"/>
      <c r="F58" s="188"/>
      <c r="G58" s="188"/>
      <c r="H58" s="188"/>
      <c r="I58" s="188"/>
      <c r="J58" s="188"/>
      <c r="K58" s="188"/>
      <c r="L58" s="188"/>
      <c r="M58" s="188"/>
      <c r="N58" s="2"/>
      <c r="O58" s="188"/>
      <c r="P58" s="188"/>
      <c r="Q58" s="188"/>
      <c r="R58" s="188"/>
      <c r="S58" s="188"/>
      <c r="T58" s="188"/>
      <c r="U58" s="30"/>
    </row>
    <row r="59" spans="2:21">
      <c r="B59" s="173"/>
      <c r="C59" s="65"/>
      <c r="D59" s="65"/>
      <c r="E59" s="188"/>
      <c r="F59" s="188"/>
      <c r="G59" s="188"/>
      <c r="H59" s="188"/>
      <c r="I59" s="188"/>
      <c r="J59" s="188"/>
      <c r="K59" s="188"/>
      <c r="L59" s="188"/>
      <c r="M59" s="188"/>
      <c r="N59" s="2"/>
      <c r="O59" s="188"/>
      <c r="P59" s="188"/>
      <c r="Q59" s="188"/>
      <c r="R59" s="188"/>
      <c r="S59" s="188"/>
      <c r="T59" s="188"/>
      <c r="U59" s="30"/>
    </row>
    <row r="60" spans="2:21">
      <c r="B60" s="173"/>
      <c r="C60" s="65"/>
      <c r="D60" s="65"/>
      <c r="E60" s="188"/>
      <c r="F60" s="188"/>
      <c r="G60" s="188"/>
      <c r="H60" s="188"/>
      <c r="I60" s="188"/>
      <c r="J60" s="188"/>
      <c r="K60" s="188"/>
      <c r="L60" s="188"/>
      <c r="M60" s="188"/>
      <c r="N60" s="2"/>
      <c r="O60" s="188"/>
      <c r="P60" s="188"/>
      <c r="Q60" s="188"/>
      <c r="R60" s="188"/>
      <c r="S60" s="188"/>
      <c r="T60" s="188"/>
      <c r="U60" s="30"/>
    </row>
    <row r="61" spans="2:21">
      <c r="B61" s="173"/>
      <c r="C61" s="65"/>
      <c r="D61" s="65"/>
      <c r="E61" s="188"/>
      <c r="F61" s="188"/>
      <c r="G61" s="188"/>
      <c r="H61" s="188"/>
      <c r="I61" s="188"/>
      <c r="J61" s="188"/>
      <c r="K61" s="188"/>
      <c r="L61" s="188"/>
      <c r="M61" s="188"/>
      <c r="N61" s="2"/>
      <c r="O61" s="188"/>
      <c r="P61" s="188"/>
      <c r="Q61" s="188"/>
      <c r="R61" s="188"/>
      <c r="S61" s="188"/>
      <c r="T61" s="188"/>
      <c r="U61" s="30"/>
    </row>
    <row r="62" spans="2:21">
      <c r="B62" s="173"/>
      <c r="C62" s="65"/>
      <c r="D62" s="65"/>
      <c r="E62" s="188"/>
      <c r="F62" s="188"/>
      <c r="G62" s="188"/>
      <c r="H62" s="188"/>
      <c r="I62" s="188"/>
      <c r="J62" s="188"/>
      <c r="K62" s="188"/>
      <c r="L62" s="188"/>
      <c r="M62" s="188"/>
      <c r="N62" s="2"/>
      <c r="O62" s="188"/>
      <c r="P62" s="188"/>
      <c r="Q62" s="188"/>
      <c r="R62" s="188"/>
      <c r="S62" s="188"/>
      <c r="T62" s="188"/>
      <c r="U62" s="30"/>
    </row>
    <row r="63" spans="2:21">
      <c r="B63" s="173"/>
      <c r="C63" s="65"/>
      <c r="D63" s="65"/>
      <c r="E63" s="188"/>
      <c r="F63" s="188"/>
      <c r="G63" s="188"/>
      <c r="H63" s="188"/>
      <c r="I63" s="188"/>
      <c r="J63" s="188"/>
      <c r="K63" s="188"/>
      <c r="L63" s="188"/>
      <c r="M63" s="188"/>
      <c r="N63" s="2"/>
      <c r="O63" s="188"/>
      <c r="P63" s="188"/>
      <c r="Q63" s="188"/>
      <c r="R63" s="188"/>
      <c r="S63" s="188"/>
      <c r="T63" s="188"/>
      <c r="U63" s="30"/>
    </row>
    <row r="64" spans="2:21">
      <c r="B64" s="173"/>
      <c r="C64" s="65"/>
      <c r="D64" s="65"/>
      <c r="E64" s="188"/>
      <c r="F64" s="188"/>
      <c r="G64" s="188"/>
      <c r="H64" s="188"/>
      <c r="I64" s="188"/>
      <c r="J64" s="188"/>
      <c r="K64" s="188"/>
      <c r="L64" s="188"/>
      <c r="M64" s="188"/>
      <c r="N64" s="2"/>
      <c r="O64" s="188"/>
      <c r="P64" s="188"/>
      <c r="Q64" s="188"/>
      <c r="R64" s="188"/>
      <c r="S64" s="188"/>
      <c r="T64" s="188"/>
      <c r="U64" s="30"/>
    </row>
    <row r="65" spans="1:52">
      <c r="B65" s="173"/>
      <c r="C65" s="65"/>
      <c r="D65" s="65"/>
      <c r="E65" s="188"/>
      <c r="F65" s="188"/>
      <c r="G65" s="188"/>
      <c r="H65" s="188"/>
      <c r="I65" s="188"/>
      <c r="J65" s="188"/>
      <c r="K65" s="188"/>
      <c r="L65" s="188"/>
      <c r="M65" s="188"/>
      <c r="N65" s="2"/>
      <c r="O65" s="188"/>
      <c r="P65" s="188"/>
      <c r="Q65" s="188"/>
      <c r="R65" s="188"/>
      <c r="S65" s="188"/>
      <c r="T65" s="188"/>
      <c r="U65" s="30"/>
    </row>
    <row r="66" spans="1:52">
      <c r="B66" s="173"/>
      <c r="C66" s="65"/>
      <c r="D66" s="65"/>
      <c r="E66" s="188"/>
      <c r="F66" s="188"/>
      <c r="G66" s="188"/>
      <c r="H66" s="188"/>
      <c r="I66" s="188"/>
      <c r="J66" s="188"/>
      <c r="K66" s="188"/>
      <c r="L66" s="188"/>
      <c r="M66" s="188"/>
      <c r="N66" s="2"/>
      <c r="O66" s="188"/>
      <c r="P66" s="188"/>
      <c r="Q66" s="188"/>
      <c r="R66" s="188"/>
      <c r="S66" s="188"/>
      <c r="T66" s="188"/>
      <c r="U66" s="30"/>
    </row>
    <row r="67" spans="1:52">
      <c r="B67" s="173"/>
      <c r="C67" s="65"/>
      <c r="D67" s="65"/>
      <c r="E67" s="188"/>
      <c r="F67" s="188"/>
      <c r="G67" s="188"/>
      <c r="H67" s="188"/>
      <c r="I67" s="188"/>
      <c r="J67" s="188"/>
      <c r="K67" s="188"/>
      <c r="L67" s="188"/>
      <c r="M67" s="188"/>
      <c r="N67" s="2"/>
      <c r="O67" s="188"/>
      <c r="P67" s="188"/>
      <c r="Q67" s="188"/>
      <c r="R67" s="188"/>
      <c r="S67" s="188"/>
      <c r="T67" s="188"/>
      <c r="U67" s="30"/>
    </row>
    <row r="68" spans="1:52">
      <c r="B68" s="173"/>
      <c r="C68" s="65"/>
      <c r="D68" s="65"/>
      <c r="E68" s="188"/>
      <c r="F68" s="188"/>
      <c r="G68" s="188"/>
      <c r="H68" s="188"/>
      <c r="I68" s="188"/>
      <c r="J68" s="188"/>
      <c r="K68" s="188"/>
      <c r="L68" s="188"/>
      <c r="M68" s="188"/>
      <c r="N68" s="2"/>
      <c r="O68" s="188"/>
      <c r="P68" s="188"/>
      <c r="Q68" s="188"/>
      <c r="R68" s="188"/>
      <c r="S68" s="188"/>
      <c r="T68" s="188"/>
      <c r="U68" s="30"/>
    </row>
    <row r="69" spans="1:52">
      <c r="B69" s="173"/>
      <c r="C69" s="65"/>
      <c r="D69" s="65"/>
      <c r="E69" s="188"/>
      <c r="F69" s="188"/>
      <c r="G69" s="188"/>
      <c r="H69" s="188"/>
      <c r="I69" s="188"/>
      <c r="J69" s="188"/>
      <c r="K69" s="188"/>
      <c r="L69" s="188"/>
      <c r="M69" s="188"/>
      <c r="N69" s="2"/>
      <c r="O69" s="188"/>
      <c r="P69" s="188"/>
      <c r="Q69" s="188"/>
      <c r="R69" s="188"/>
      <c r="S69" s="188"/>
      <c r="T69" s="188"/>
      <c r="U69" s="30"/>
    </row>
    <row r="70" spans="1:52">
      <c r="B70" s="173"/>
      <c r="C70" s="65"/>
      <c r="D70" s="65"/>
      <c r="E70" s="188"/>
      <c r="F70" s="188"/>
      <c r="G70" s="188"/>
      <c r="H70" s="188"/>
      <c r="I70" s="188"/>
      <c r="J70" s="188"/>
      <c r="K70" s="188"/>
      <c r="L70" s="188"/>
      <c r="M70" s="188"/>
      <c r="N70" s="2"/>
      <c r="O70" s="188"/>
      <c r="P70" s="188"/>
      <c r="Q70" s="188"/>
      <c r="R70" s="188"/>
      <c r="S70" s="188"/>
      <c r="T70" s="188"/>
      <c r="U70" s="30"/>
    </row>
    <row r="71" spans="1:52">
      <c r="B71" s="173"/>
      <c r="C71" s="65"/>
      <c r="D71" s="65"/>
      <c r="E71" s="188"/>
      <c r="F71" s="188"/>
      <c r="G71" s="188"/>
      <c r="H71" s="188"/>
      <c r="I71" s="188"/>
      <c r="J71" s="188"/>
      <c r="K71" s="188"/>
      <c r="L71" s="188"/>
      <c r="M71" s="188"/>
      <c r="N71" s="2"/>
      <c r="O71" s="188"/>
      <c r="P71" s="188"/>
      <c r="Q71" s="188"/>
      <c r="R71" s="188"/>
      <c r="S71" s="188"/>
      <c r="T71" s="188"/>
      <c r="U71" s="30"/>
    </row>
    <row r="72" spans="1:52">
      <c r="B72" s="173"/>
      <c r="C72" s="65"/>
      <c r="D72" s="65"/>
      <c r="E72" s="188"/>
      <c r="F72" s="188"/>
      <c r="G72" s="188"/>
      <c r="H72" s="188"/>
      <c r="I72" s="188"/>
      <c r="J72" s="188"/>
      <c r="K72" s="188"/>
      <c r="L72" s="188"/>
      <c r="M72" s="188"/>
      <c r="N72" s="2"/>
      <c r="O72" s="188"/>
      <c r="P72" s="188"/>
      <c r="Q72" s="188"/>
      <c r="R72" s="188"/>
      <c r="S72" s="188"/>
      <c r="T72" s="188"/>
      <c r="U72" s="30"/>
    </row>
    <row r="73" spans="1:52">
      <c r="C73" s="65"/>
      <c r="D73" s="65"/>
      <c r="E73" s="188"/>
      <c r="F73" s="188"/>
      <c r="G73" s="188"/>
      <c r="H73" s="188"/>
      <c r="I73" s="188"/>
      <c r="J73" s="188"/>
      <c r="K73" s="188"/>
      <c r="L73" s="188"/>
      <c r="M73" s="188"/>
      <c r="N73" s="2"/>
      <c r="O73" s="188"/>
      <c r="P73" s="188"/>
      <c r="Q73" s="188"/>
      <c r="R73" s="188"/>
      <c r="S73" s="188"/>
      <c r="T73" s="188"/>
      <c r="U73" s="30"/>
    </row>
    <row r="74" spans="1:52">
      <c r="C74" s="65"/>
      <c r="D74" s="65"/>
      <c r="E74" s="188"/>
      <c r="F74" s="188"/>
      <c r="G74" s="188"/>
      <c r="H74" s="188"/>
      <c r="I74" s="188"/>
      <c r="J74" s="188"/>
      <c r="K74" s="188"/>
      <c r="L74" s="188"/>
      <c r="M74" s="188"/>
      <c r="N74" s="2"/>
      <c r="O74" s="188"/>
      <c r="P74" s="188"/>
      <c r="Q74" s="188"/>
      <c r="R74" s="188"/>
      <c r="S74" s="188"/>
      <c r="T74" s="188"/>
      <c r="U74" s="30"/>
    </row>
    <row r="75" spans="1:52">
      <c r="C75" s="65"/>
      <c r="D75" s="65"/>
      <c r="E75" s="188"/>
      <c r="F75" s="188"/>
      <c r="G75" s="188"/>
      <c r="H75" s="188"/>
      <c r="I75" s="188"/>
      <c r="J75" s="188"/>
      <c r="K75" s="188"/>
      <c r="L75" s="188"/>
      <c r="M75" s="188"/>
      <c r="N75" s="2"/>
      <c r="O75" s="188"/>
      <c r="P75" s="188"/>
      <c r="Q75" s="188"/>
      <c r="R75" s="188"/>
      <c r="S75" s="188"/>
      <c r="T75" s="188"/>
      <c r="U75" s="30"/>
    </row>
    <row r="76" spans="1:52">
      <c r="C76" s="65"/>
      <c r="D76" s="65"/>
      <c r="E76" s="188"/>
      <c r="F76" s="188"/>
      <c r="G76" s="188"/>
      <c r="H76" s="188"/>
      <c r="I76" s="188"/>
      <c r="J76" s="188"/>
      <c r="K76" s="188"/>
      <c r="L76" s="188"/>
      <c r="M76" s="188"/>
      <c r="N76" s="2"/>
      <c r="O76" s="188"/>
      <c r="P76" s="188"/>
      <c r="Q76" s="188"/>
      <c r="R76" s="188"/>
      <c r="S76" s="188"/>
      <c r="T76" s="188"/>
      <c r="U76" s="30"/>
    </row>
    <row r="79" spans="1:52">
      <c r="B79" s="96"/>
    </row>
    <row r="80" spans="1:52">
      <c r="A80" s="20"/>
      <c r="B80" s="97"/>
      <c r="C80" s="7"/>
      <c r="D80" s="7"/>
      <c r="E80" s="7"/>
      <c r="F80" s="7"/>
      <c r="G80" s="98"/>
      <c r="H80" s="99"/>
      <c r="I80" s="99"/>
      <c r="J80" s="99"/>
      <c r="K80" s="99"/>
      <c r="L80" s="100"/>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row>
    <row r="81" spans="1:52">
      <c r="A81" s="65"/>
      <c r="B81" s="96"/>
      <c r="C81" s="65"/>
      <c r="D81" s="65"/>
      <c r="E81" s="9"/>
      <c r="F81" s="9"/>
      <c r="G81" s="9"/>
      <c r="H81" s="9"/>
      <c r="I81" s="9"/>
      <c r="J81" s="9"/>
      <c r="K81" s="9"/>
      <c r="L81" s="9"/>
      <c r="M81" s="9"/>
      <c r="N81" s="2"/>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row>
    <row r="82" spans="1:52">
      <c r="A82" s="65"/>
      <c r="B82" s="96"/>
      <c r="C82" s="65"/>
      <c r="D82" s="65"/>
      <c r="E82" s="9"/>
      <c r="F82" s="9"/>
      <c r="G82" s="9"/>
      <c r="H82" s="9"/>
      <c r="I82" s="9"/>
      <c r="J82" s="9"/>
      <c r="K82" s="9"/>
      <c r="L82" s="9"/>
      <c r="M82" s="9"/>
      <c r="N82" s="2"/>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row>
    <row r="83" spans="1:52">
      <c r="A83" s="65"/>
      <c r="B83" s="96"/>
      <c r="C83" s="65"/>
      <c r="D83" s="65"/>
      <c r="E83" s="9"/>
      <c r="F83" s="9"/>
      <c r="G83" s="9"/>
      <c r="H83" s="9"/>
      <c r="I83" s="9"/>
      <c r="J83" s="9"/>
      <c r="K83" s="9"/>
      <c r="L83" s="9"/>
      <c r="M83" s="9"/>
      <c r="N83" s="2"/>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row>
    <row r="84" spans="1:52">
      <c r="A84" s="65"/>
      <c r="B84" s="96"/>
      <c r="C84" s="65"/>
      <c r="D84" s="65"/>
      <c r="E84" s="9"/>
      <c r="F84" s="9"/>
      <c r="G84" s="9"/>
      <c r="H84" s="9"/>
      <c r="I84" s="9"/>
      <c r="J84" s="9"/>
      <c r="K84" s="9"/>
      <c r="L84" s="9"/>
      <c r="M84" s="9"/>
      <c r="N84" s="2"/>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row>
    <row r="85" spans="1:52">
      <c r="A85" s="65"/>
      <c r="B85" s="96"/>
      <c r="C85" s="65"/>
      <c r="D85" s="65"/>
      <c r="E85" s="9"/>
      <c r="F85" s="9"/>
      <c r="G85" s="9"/>
      <c r="H85" s="9"/>
      <c r="I85" s="9"/>
      <c r="J85" s="9"/>
      <c r="K85" s="9"/>
      <c r="L85" s="9"/>
      <c r="M85" s="9"/>
      <c r="N85" s="2"/>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row>
    <row r="86" spans="1:52">
      <c r="A86" s="65"/>
      <c r="B86" s="96"/>
      <c r="C86" s="65"/>
      <c r="D86" s="65"/>
      <c r="E86" s="9"/>
      <c r="F86" s="9"/>
      <c r="G86" s="9"/>
      <c r="H86" s="9"/>
      <c r="I86" s="9"/>
      <c r="J86" s="9"/>
      <c r="K86" s="9"/>
      <c r="L86" s="9"/>
      <c r="M86" s="9"/>
      <c r="N86" s="2"/>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row>
    <row r="87" spans="1:52">
      <c r="A87" s="65"/>
      <c r="B87" s="96"/>
      <c r="C87" s="65"/>
      <c r="D87" s="65"/>
      <c r="E87" s="9"/>
      <c r="F87" s="9"/>
      <c r="G87" s="9"/>
      <c r="H87" s="9"/>
      <c r="I87" s="9"/>
      <c r="J87" s="9"/>
      <c r="K87" s="9"/>
      <c r="L87" s="9"/>
      <c r="M87" s="9"/>
      <c r="N87" s="2"/>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row>
    <row r="88" spans="1:52">
      <c r="A88" s="65"/>
      <c r="B88" s="96"/>
      <c r="C88" s="65"/>
      <c r="D88" s="65"/>
      <c r="E88" s="9"/>
      <c r="F88" s="9"/>
      <c r="G88" s="9"/>
      <c r="H88" s="9"/>
      <c r="I88" s="9"/>
      <c r="J88" s="9"/>
      <c r="K88" s="9"/>
      <c r="L88" s="9"/>
      <c r="M88" s="9"/>
      <c r="N88" s="2"/>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row>
    <row r="89" spans="1:52">
      <c r="A89" s="65"/>
      <c r="B89" s="96"/>
      <c r="C89" s="65"/>
      <c r="D89" s="65"/>
      <c r="E89" s="9"/>
      <c r="F89" s="9"/>
      <c r="G89" s="9"/>
      <c r="H89" s="9"/>
      <c r="I89" s="9"/>
      <c r="J89" s="9"/>
      <c r="K89" s="9"/>
      <c r="L89" s="9"/>
      <c r="M89" s="9"/>
      <c r="N89" s="2"/>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row>
    <row r="90" spans="1:52">
      <c r="A90" s="65"/>
      <c r="B90" s="96"/>
      <c r="C90" s="65"/>
      <c r="D90" s="65"/>
      <c r="E90" s="9"/>
      <c r="F90" s="9"/>
      <c r="G90" s="9"/>
      <c r="H90" s="9"/>
      <c r="I90" s="9"/>
      <c r="J90" s="9"/>
      <c r="K90" s="9"/>
      <c r="L90" s="9"/>
      <c r="M90" s="9"/>
      <c r="N90" s="2"/>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row>
    <row r="91" spans="1:52">
      <c r="A91" s="65"/>
      <c r="B91" s="96"/>
      <c r="C91" s="65"/>
      <c r="D91" s="65"/>
      <c r="E91" s="9"/>
      <c r="F91" s="9"/>
      <c r="G91" s="9"/>
      <c r="H91" s="9"/>
      <c r="I91" s="9"/>
      <c r="J91" s="9"/>
      <c r="K91" s="9"/>
      <c r="L91" s="9"/>
      <c r="M91" s="9"/>
      <c r="N91" s="2"/>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row>
    <row r="92" spans="1:52">
      <c r="A92" s="65"/>
      <c r="B92" s="96"/>
      <c r="C92" s="65"/>
      <c r="D92" s="65"/>
      <c r="E92" s="9"/>
      <c r="F92" s="9"/>
      <c r="G92" s="9"/>
      <c r="H92" s="9"/>
      <c r="I92" s="9"/>
      <c r="J92" s="9"/>
      <c r="K92" s="9"/>
      <c r="L92" s="9"/>
      <c r="M92" s="9"/>
      <c r="N92" s="2"/>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row>
    <row r="93" spans="1:52">
      <c r="A93" s="65"/>
      <c r="B93" s="96"/>
      <c r="C93" s="65"/>
      <c r="D93" s="65"/>
      <c r="E93" s="9"/>
      <c r="F93" s="9"/>
      <c r="G93" s="9"/>
      <c r="H93" s="9"/>
      <c r="I93" s="9"/>
      <c r="J93" s="9"/>
      <c r="K93" s="9"/>
      <c r="L93" s="9"/>
      <c r="M93" s="9"/>
      <c r="N93" s="2"/>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row>
    <row r="94" spans="1:52">
      <c r="A94" s="65"/>
      <c r="B94" s="96"/>
      <c r="C94" s="65"/>
      <c r="D94" s="65"/>
      <c r="E94" s="9"/>
      <c r="F94" s="9"/>
      <c r="G94" s="9"/>
      <c r="H94" s="9"/>
      <c r="I94" s="9"/>
      <c r="J94" s="9"/>
      <c r="K94" s="9"/>
      <c r="L94" s="9"/>
      <c r="M94" s="9"/>
      <c r="N94" s="2"/>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row>
    <row r="95" spans="1:52">
      <c r="A95" s="65"/>
      <c r="B95" s="96"/>
      <c r="C95" s="65"/>
      <c r="D95" s="65"/>
      <c r="E95" s="9"/>
      <c r="F95" s="9"/>
      <c r="G95" s="9"/>
      <c r="H95" s="9"/>
      <c r="I95" s="9"/>
      <c r="J95" s="9"/>
      <c r="K95" s="9"/>
      <c r="L95" s="9"/>
      <c r="M95" s="9"/>
      <c r="N95" s="2"/>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row>
    <row r="96" spans="1:52">
      <c r="A96" s="65"/>
      <c r="B96" s="96"/>
      <c r="C96" s="65"/>
      <c r="D96" s="65"/>
      <c r="E96" s="9"/>
      <c r="F96" s="9"/>
      <c r="G96" s="9"/>
      <c r="H96" s="9"/>
      <c r="I96" s="9"/>
      <c r="J96" s="9"/>
      <c r="K96" s="9"/>
      <c r="L96" s="9"/>
      <c r="M96" s="9"/>
      <c r="N96" s="2"/>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row>
    <row r="97" spans="1:52">
      <c r="A97" s="65"/>
      <c r="B97" s="96"/>
      <c r="C97" s="65"/>
      <c r="D97" s="65"/>
      <c r="E97" s="9"/>
      <c r="F97" s="9"/>
      <c r="G97" s="9"/>
      <c r="H97" s="9"/>
      <c r="I97" s="9"/>
      <c r="J97" s="9"/>
      <c r="K97" s="9"/>
      <c r="L97" s="9"/>
      <c r="M97" s="9"/>
      <c r="N97" s="2"/>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row>
    <row r="98" spans="1:52">
      <c r="A98" s="65"/>
      <c r="B98" s="96"/>
      <c r="C98" s="65"/>
      <c r="D98" s="65"/>
      <c r="E98" s="9"/>
      <c r="F98" s="9"/>
      <c r="G98" s="9"/>
      <c r="H98" s="9"/>
      <c r="I98" s="9"/>
      <c r="J98" s="9"/>
      <c r="K98" s="9"/>
      <c r="L98" s="9"/>
      <c r="M98" s="9"/>
      <c r="N98" s="2"/>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row>
    <row r="99" spans="1:52">
      <c r="A99" s="65"/>
      <c r="B99" s="96"/>
      <c r="C99" s="65"/>
      <c r="D99" s="65"/>
      <c r="E99" s="9"/>
      <c r="F99" s="9"/>
      <c r="G99" s="9"/>
      <c r="H99" s="9"/>
      <c r="I99" s="9"/>
      <c r="J99" s="9"/>
      <c r="K99" s="9"/>
      <c r="L99" s="9"/>
      <c r="M99" s="9"/>
      <c r="N99" s="2"/>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row>
    <row r="100" spans="1:52">
      <c r="A100" s="65"/>
      <c r="B100" s="96"/>
      <c r="C100" s="65"/>
      <c r="D100" s="65"/>
      <c r="E100" s="9"/>
      <c r="F100" s="9"/>
      <c r="G100" s="9"/>
      <c r="H100" s="9"/>
      <c r="I100" s="9"/>
      <c r="J100" s="9"/>
      <c r="K100" s="9"/>
      <c r="L100" s="9"/>
      <c r="M100" s="9"/>
      <c r="N100" s="2"/>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row>
    <row r="101" spans="1:52">
      <c r="A101" s="65"/>
      <c r="B101" s="96"/>
      <c r="C101" s="65"/>
      <c r="D101" s="65"/>
      <c r="E101" s="9"/>
      <c r="F101" s="9"/>
      <c r="G101" s="9"/>
      <c r="H101" s="9"/>
      <c r="I101" s="9"/>
      <c r="J101" s="9"/>
      <c r="K101" s="9"/>
      <c r="L101" s="9"/>
      <c r="M101" s="9"/>
      <c r="N101" s="2"/>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row>
    <row r="102" spans="1:52">
      <c r="A102" s="65"/>
      <c r="B102" s="96"/>
      <c r="C102" s="65"/>
      <c r="D102" s="65"/>
      <c r="E102" s="9"/>
      <c r="F102" s="9"/>
      <c r="G102" s="9"/>
      <c r="H102" s="9"/>
      <c r="I102" s="9"/>
      <c r="J102" s="9"/>
      <c r="K102" s="9"/>
      <c r="L102" s="9"/>
      <c r="M102" s="9"/>
      <c r="N102" s="2"/>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row>
  </sheetData>
  <mergeCells count="2">
    <mergeCell ref="E53:M53"/>
    <mergeCell ref="E28:M2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7C521BCFB1E584082B27A1B811DA110" ma:contentTypeVersion="38" ma:contentTypeDescription="Create a new document." ma:contentTypeScope="" ma:versionID="28cd28ad0590a9f2931ea91c29fed28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7d7b659b-c050-4388-b6f3-49109a48db57" xmlns:ns6="8f75adca-0fe3-4657-b07a-186b256b984e" targetNamespace="http://schemas.microsoft.com/office/2006/metadata/properties" ma:root="true" ma:fieldsID="52069c917f3ead645295d34235ca68b6" ns1:_="" ns2:_="" ns3:_="" ns4:_="" ns5:_="" ns6:_="">
    <xsd:import namespace="http://schemas.microsoft.com/sharepoint/v3"/>
    <xsd:import namespace="4ffa91fb-a0ff-4ac5-b2db-65c790d184a4"/>
    <xsd:import namespace="http://schemas.microsoft.com/sharepoint.v3"/>
    <xsd:import namespace="http://schemas.microsoft.com/sharepoint/v3/fields"/>
    <xsd:import namespace="7d7b659b-c050-4388-b6f3-49109a48db57"/>
    <xsd:import namespace="8f75adca-0fe3-4657-b07a-186b256b984e"/>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Reference_x0020_No" minOccurs="0"/>
                <xsd:element ref="ns6:Ref_x0020_No" minOccurs="0"/>
                <xsd:element ref="ns6:Reviewer" minOccurs="0"/>
                <xsd:element ref="ns6:Status" minOccurs="0"/>
                <xsd:element ref="ns5:LastSharedByUser" minOccurs="0"/>
                <xsd:element ref="ns5:LastSharedByTime" minOccurs="0"/>
                <xsd:element ref="ns6:Instructions" minOccurs="0"/>
                <xsd:element ref="ns6:MediaServiceMetadata" minOccurs="0"/>
                <xsd:element ref="ns6:MediaServiceFastMetadata" minOccurs="0"/>
                <xsd:element ref="ns6:MediaServiceAutoTags" minOccurs="0"/>
                <xsd:element ref="ns6:MediaServiceOCR" minOccurs="0"/>
                <xsd:element ref="ns6:MediaServiceAutoKeyPoints" minOccurs="0"/>
                <xsd:element ref="ns6:MediaServiceKeyPoints" minOccurs="0"/>
                <xsd:element ref="ns6:MediaServiceDateTaken" minOccurs="0"/>
                <xsd:element ref="ns6:lcf76f155ced4ddcb4097134ff3c332f" minOccurs="0"/>
                <xsd:element ref="ns6:MediaServiceGenerationTime" minOccurs="0"/>
                <xsd:element ref="ns6:MediaServiceEventHashCode"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ee8ad1b5-879f-4067-9706-71307984bf0c}" ma:internalName="TaxCatchAllLabel" ma:readOnly="true" ma:showField="CatchAllDataLabel"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ee8ad1b5-879f-4067-9706-71307984bf0c}" ma:internalName="TaxCatchAll" ma:showField="CatchAllData"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7b659b-c050-4388-b6f3-49109a48db57"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description="" ma:internalName="SharedWithDetails" ma:readOnly="true">
      <xsd:simpleType>
        <xsd:restriction base="dms:Note">
          <xsd:maxLength value="255"/>
        </xsd:restriction>
      </xsd:simpleType>
    </xsd:element>
    <xsd:element name="LastSharedByUser" ma:index="35" nillable="true" ma:displayName="Last Shared By User" ma:description="" ma:internalName="LastSharedByUser" ma:readOnly="true">
      <xsd:simpleType>
        <xsd:restriction base="dms:Note">
          <xsd:maxLength value="255"/>
        </xsd:restriction>
      </xsd:simpleType>
    </xsd:element>
    <xsd:element name="LastSharedByTime" ma:index="36"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f75adca-0fe3-4657-b07a-186b256b984e" elementFormDefault="qualified">
    <xsd:import namespace="http://schemas.microsoft.com/office/2006/documentManagement/types"/>
    <xsd:import namespace="http://schemas.microsoft.com/office/infopath/2007/PartnerControls"/>
    <xsd:element name="Reference_x0020_No" ma:index="31" nillable="true" ma:displayName="Reference No" ma:internalName="Reference_x0020_No">
      <xsd:simpleType>
        <xsd:restriction base="dms:Note">
          <xsd:maxLength value="255"/>
        </xsd:restriction>
      </xsd:simpleType>
    </xsd:element>
    <xsd:element name="Ref_x0020_No" ma:index="32" nillable="true" ma:displayName="Ref No" ma:internalName="Ref_x0020_No">
      <xsd:simpleType>
        <xsd:restriction base="dms:Text">
          <xsd:maxLength value="255"/>
        </xsd:restriction>
      </xsd:simpleType>
    </xsd:element>
    <xsd:element name="Reviewer" ma:index="33" nillable="true" ma:displayName="Reviewer" ma:internalName="Reviewer">
      <xsd:simpleType>
        <xsd:restriction base="dms:Note">
          <xsd:maxLength value="255"/>
        </xsd:restriction>
      </xsd:simpleType>
    </xsd:element>
    <xsd:element name="Status" ma:index="34" nillable="true" ma:displayName="Status" ma:internalName="Status">
      <xsd:simpleType>
        <xsd:restriction base="dms:Text">
          <xsd:maxLength value="255"/>
        </xsd:restriction>
      </xsd:simpleType>
    </xsd:element>
    <xsd:element name="Instructions" ma:index="37" nillable="true" ma:displayName="Instructions" ma:internalName="Instructions">
      <xsd:simpleType>
        <xsd:restriction base="dms:Note">
          <xsd:maxLength value="255"/>
        </xsd:restriction>
      </xsd:simpleType>
    </xsd:element>
    <xsd:element name="MediaServiceMetadata" ma:index="38" nillable="true" ma:displayName="MediaServiceMetadata" ma:description="" ma:hidden="true" ma:internalName="MediaServiceMetadata" ma:readOnly="true">
      <xsd:simpleType>
        <xsd:restriction base="dms:Note"/>
      </xsd:simpleType>
    </xsd:element>
    <xsd:element name="MediaServiceFastMetadata" ma:index="39" nillable="true" ma:displayName="MediaServiceFastMetadata" ma:description="" ma:hidden="true" ma:internalName="MediaServiceFastMetadata" ma:readOnly="true">
      <xsd:simpleType>
        <xsd:restriction base="dms:Note"/>
      </xsd:simpleType>
    </xsd:element>
    <xsd:element name="MediaServiceAutoTags" ma:index="40" nillable="true" ma:displayName="Tags" ma:internalName="MediaServiceAutoTags" ma:readOnly="true">
      <xsd:simpleType>
        <xsd:restriction base="dms:Text"/>
      </xsd:simpleType>
    </xsd:element>
    <xsd:element name="MediaServiceOCR" ma:index="41" nillable="true" ma:displayName="Extracted Text" ma:internalName="MediaServiceOCR" ma:readOnly="true">
      <xsd:simpleType>
        <xsd:restriction base="dms:Note">
          <xsd:maxLength value="255"/>
        </xsd:restriction>
      </xsd:simpleType>
    </xsd:element>
    <xsd:element name="MediaServiceAutoKeyPoints" ma:index="42" nillable="true" ma:displayName="MediaServiceAutoKeyPoints" ma:hidden="true" ma:internalName="MediaServiceAutoKeyPoints" ma:readOnly="true">
      <xsd:simpleType>
        <xsd:restriction base="dms:Note"/>
      </xsd:simpleType>
    </xsd:element>
    <xsd:element name="MediaServiceKeyPoints" ma:index="43" nillable="true" ma:displayName="KeyPoints" ma:internalName="MediaServiceKeyPoints" ma:readOnly="true">
      <xsd:simpleType>
        <xsd:restriction base="dms:Note">
          <xsd:maxLength value="255"/>
        </xsd:restriction>
      </xsd:simpleType>
    </xsd:element>
    <xsd:element name="MediaServiceDateTaken" ma:index="44" nillable="true" ma:displayName="MediaServiceDateTaken" ma:hidden="true" ma:internalName="MediaServiceDateTaken" ma:readOnly="true">
      <xsd:simpleType>
        <xsd:restriction base="dms:Text"/>
      </xsd:simpleType>
    </xsd:element>
    <xsd:element name="lcf76f155ced4ddcb4097134ff3c332f" ma:index="46"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47" nillable="true" ma:displayName="MediaServiceGenerationTime" ma:hidden="true" ma:internalName="MediaServiceGenerationTime" ma:readOnly="true">
      <xsd:simpleType>
        <xsd:restriction base="dms:Text"/>
      </xsd:simpleType>
    </xsd:element>
    <xsd:element name="MediaServiceEventHashCode" ma:index="48" nillable="true" ma:displayName="MediaServiceEventHashCode" ma:hidden="true" ma:internalName="MediaServiceEventHashCode" ma:readOnly="true">
      <xsd:simpleType>
        <xsd:restriction base="dms:Text"/>
      </xsd:simpleType>
    </xsd:element>
    <xsd:element name="MediaServiceObjectDetectorVersions" ma:index="49" nillable="true" ma:displayName="MediaServiceObjectDetectorVersions" ma:hidden="true" ma:indexed="true" ma:internalName="MediaServiceObjectDetectorVersions"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Reviewer xmlns="8f75adca-0fe3-4657-b07a-186b256b984e" xsi:nil="true"/>
    <External_x0020_Contributor xmlns="4ffa91fb-a0ff-4ac5-b2db-65c790d184a4" xsi:nil="true"/>
    <TaxKeywordTaxHTField xmlns="4ffa91fb-a0ff-4ac5-b2db-65c790d184a4">
      <Terms xmlns="http://schemas.microsoft.com/office/infopath/2007/PartnerControls"/>
    </TaxKeywordTaxHTField>
    <Instructions xmlns="8f75adca-0fe3-4657-b07a-186b256b984e" xsi:nil="true"/>
    <Status xmlns="8f75adca-0fe3-4657-b07a-186b256b984e" xsi:nil="true"/>
    <Record xmlns="4ffa91fb-a0ff-4ac5-b2db-65c790d184a4">Shared</Record>
    <Rights xmlns="4ffa91fb-a0ff-4ac5-b2db-65c790d184a4" xsi:nil="true"/>
    <Document_x0020_Creation_x0020_Date xmlns="4ffa91fb-a0ff-4ac5-b2db-65c790d184a4">2023-06-30T00:31:08+00:00</Document_x0020_Creation_x0020_Date>
    <EPA_x0020_Office xmlns="4ffa91fb-a0ff-4ac5-b2db-65c790d184a4" xsi:nil="true"/>
    <lcf76f155ced4ddcb4097134ff3c332f xmlns="8f75adca-0fe3-4657-b07a-186b256b984e">
      <Terms xmlns="http://schemas.microsoft.com/office/infopath/2007/PartnerControls"/>
    </lcf76f155ced4ddcb4097134ff3c332f>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Reference_x0020_No xmlns="8f75adca-0fe3-4657-b07a-186b256b984e" xsi:nil="true"/>
    <EPA_x0020_Contributor xmlns="4ffa91fb-a0ff-4ac5-b2db-65c790d184a4">
      <UserInfo>
        <DisplayName/>
        <AccountId xsi:nil="true"/>
        <AccountType/>
      </UserInfo>
    </EPA_x0020_Contributor>
    <TaxCatchAll xmlns="4ffa91fb-a0ff-4ac5-b2db-65c790d184a4" xsi:nil="true"/>
    <Ref_x0020_No xmlns="8f75adca-0fe3-4657-b07a-186b256b984e" xsi:nil="true"/>
  </documentManagement>
</p:properties>
</file>

<file path=customXml/itemProps1.xml><?xml version="1.0" encoding="utf-8"?>
<ds:datastoreItem xmlns:ds="http://schemas.openxmlformats.org/officeDocument/2006/customXml" ds:itemID="{A020EF25-BF1B-4D15-9B68-DC81EB18F76E}"/>
</file>

<file path=customXml/itemProps2.xml><?xml version="1.0" encoding="utf-8"?>
<ds:datastoreItem xmlns:ds="http://schemas.openxmlformats.org/officeDocument/2006/customXml" ds:itemID="{65C3CFFE-B3A5-4AE3-86A6-48F1E497ECE4}">
  <ds:schemaRefs>
    <ds:schemaRef ds:uri="http://schemas.microsoft.com/sharepoint/v3/contenttype/forms"/>
  </ds:schemaRefs>
</ds:datastoreItem>
</file>

<file path=customXml/itemProps3.xml><?xml version="1.0" encoding="utf-8"?>
<ds:datastoreItem xmlns:ds="http://schemas.openxmlformats.org/officeDocument/2006/customXml" ds:itemID="{92F5098A-EEF5-4C52-AB79-EB246CA42B35}">
  <ds:schemaRefs>
    <ds:schemaRef ds:uri="Microsoft.SharePoint.Taxonomy.ContentTypeSync"/>
  </ds:schemaRefs>
</ds:datastoreItem>
</file>

<file path=customXml/itemProps4.xml><?xml version="1.0" encoding="utf-8"?>
<ds:datastoreItem xmlns:ds="http://schemas.openxmlformats.org/officeDocument/2006/customXml" ds:itemID="{AE52AA5B-0AEE-4A7D-8BF1-EDE6980398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Read Me</vt:lpstr>
      <vt:lpstr>Data Dictionary</vt:lpstr>
      <vt:lpstr>Filter Weights</vt:lpstr>
      <vt:lpstr>Backgrounds</vt:lpstr>
      <vt:lpstr>Phase Parameters</vt:lpstr>
      <vt:lpstr>Phase CEMS PM Concentrations</vt:lpstr>
      <vt:lpstr>Phase CEMS VOC Concentration</vt:lpstr>
      <vt:lpstr>Emission Factors</vt:lpstr>
      <vt:lpstr>Data for SPECIATE</vt:lpstr>
      <vt:lpstr>PM Protocol</vt:lpstr>
      <vt:lpstr>Composites</vt:lpstr>
      <vt:lpstr>Composites Request</vt:lpstr>
      <vt:lpstr>PROFILES</vt:lpstr>
      <vt:lpstr>SPECIES</vt:lpstr>
      <vt:lpstr>REFERENCES</vt:lpstr>
      <vt:lpstr>PROFILE_REFERENCE_CROSSWALK</vt:lpstr>
      <vt:lpstr>Oxides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aholder</dc:creator>
  <cp:keywords/>
  <dc:description/>
  <cp:lastModifiedBy>Ying Hsu</cp:lastModifiedBy>
  <cp:revision/>
  <dcterms:created xsi:type="dcterms:W3CDTF">2018-06-25T23:18:13Z</dcterms:created>
  <dcterms:modified xsi:type="dcterms:W3CDTF">2023-06-30T00:28:00Z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0x010100E7C521BCFB1E584082B27A1B811DA110</vt:lpwstr>
  </property>
</Properties>
</file>