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https://usepa.sharepoint.com/sites/ORD_Community/speciate/Shared Documents/3-SPECIATE5.1/SPECIATE 5.1 Workbooks/"/>
    </mc:Choice>
  </mc:AlternateContent>
  <xr:revisionPtr revIDLastSave="7" documentId="8_{A4144C9D-9DBF-4947-986D-4AE73688F508}" xr6:coauthVersionLast="44" xr6:coauthVersionMax="44" xr10:uidLastSave="{E2095915-474E-47F5-8783-A7AADF191DBF}"/>
  <bookViews>
    <workbookView xWindow="-110" yWindow="-110" windowWidth="19420" windowHeight="10420" tabRatio="758" firstSheet="3" activeTab="6" xr2:uid="{00000000-000D-0000-FFFF-FFFF00000000}"/>
  </bookViews>
  <sheets>
    <sheet name="Notes" sheetId="12" r:id="rId1"/>
    <sheet name="Documentation" sheetId="18" r:id="rId2"/>
    <sheet name="Greene County" sheetId="13" r:id="rId3"/>
    <sheet name="Butler County" sheetId="15" r:id="rId4"/>
    <sheet name="Washington County" sheetId="17" r:id="rId5"/>
    <sheet name="Molecular Weights" sheetId="16" r:id="rId6"/>
    <sheet name="PROFILE" sheetId="3" r:id="rId7"/>
    <sheet name="SPECIES" sheetId="4" r:id="rId8"/>
    <sheet name="PROFILE_REFERENCE_CROSSWALK" sheetId="5" r:id="rId9"/>
    <sheet name="REFERENCES" sheetId="6" r:id="rId10"/>
  </sheets>
  <definedNames>
    <definedName name="CurrentRow">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B28" i="15" l="1"/>
  <c r="CB29" i="15"/>
  <c r="CB30" i="15"/>
  <c r="CC30" i="15" s="1"/>
  <c r="CB31" i="15"/>
  <c r="CB32" i="15"/>
  <c r="CB33" i="15"/>
  <c r="CB34" i="15"/>
  <c r="CC34" i="15" s="1"/>
  <c r="CB35" i="15"/>
  <c r="CB36" i="15"/>
  <c r="CB37" i="15"/>
  <c r="CB27" i="15"/>
  <c r="CB38" i="15" s="1"/>
  <c r="AW34" i="15" l="1"/>
  <c r="AY34" i="15"/>
  <c r="BG34" i="15"/>
  <c r="BK34" i="15"/>
  <c r="BO34" i="15"/>
  <c r="AA34" i="15"/>
  <c r="AC34" i="15"/>
  <c r="AE34" i="15"/>
  <c r="AK34" i="15"/>
  <c r="AM34" i="15"/>
  <c r="AQ34" i="15"/>
  <c r="AS34" i="15"/>
  <c r="BA34" i="15"/>
  <c r="BU34" i="15"/>
  <c r="U34" i="15"/>
  <c r="Y34" i="15"/>
  <c r="AI34" i="15"/>
  <c r="AO34" i="15"/>
  <c r="AU34" i="15"/>
  <c r="BC34" i="15"/>
  <c r="BI34" i="15"/>
  <c r="BM34" i="15"/>
  <c r="BQ34" i="15"/>
  <c r="W34" i="15"/>
  <c r="AG34" i="15"/>
  <c r="BE34" i="15"/>
  <c r="BS34" i="15"/>
  <c r="CC33" i="15"/>
  <c r="CC36" i="15"/>
  <c r="CC32" i="15"/>
  <c r="CC28" i="15"/>
  <c r="CC37" i="15"/>
  <c r="CC29" i="15"/>
  <c r="CC35" i="15"/>
  <c r="CC31" i="15"/>
  <c r="CC27" i="15"/>
  <c r="Q15" i="13"/>
  <c r="Q16" i="13"/>
  <c r="Q17" i="13"/>
  <c r="AQ56" i="13"/>
  <c r="AP56" i="13"/>
  <c r="AO56" i="13"/>
  <c r="AN56" i="13"/>
  <c r="AM56" i="13"/>
  <c r="AL56" i="13"/>
  <c r="AK56" i="13"/>
  <c r="AJ56" i="13"/>
  <c r="AI56" i="13"/>
  <c r="AH56" i="13"/>
  <c r="AG56" i="13"/>
  <c r="AF56" i="13"/>
  <c r="AE56" i="13"/>
  <c r="AD56" i="13"/>
  <c r="AC56" i="13"/>
  <c r="AB56" i="13"/>
  <c r="AQ55" i="13"/>
  <c r="AP55" i="13"/>
  <c r="AO55" i="13"/>
  <c r="AN55" i="13"/>
  <c r="AM55" i="13"/>
  <c r="AL55" i="13"/>
  <c r="AK55" i="13"/>
  <c r="AJ55" i="13"/>
  <c r="AI55" i="13"/>
  <c r="AH55" i="13"/>
  <c r="AG55" i="13"/>
  <c r="AF55" i="13"/>
  <c r="AE55" i="13"/>
  <c r="AD55" i="13"/>
  <c r="AC55" i="13"/>
  <c r="AB55" i="13"/>
  <c r="BM55" i="13"/>
  <c r="BI55" i="13"/>
  <c r="BJ48" i="13" s="1"/>
  <c r="BG55" i="13"/>
  <c r="BH52" i="13" s="1"/>
  <c r="BE55" i="13"/>
  <c r="BF51" i="13" s="1"/>
  <c r="BC55" i="13"/>
  <c r="BD52" i="13" s="1"/>
  <c r="BA55" i="13"/>
  <c r="BB53" i="13" s="1"/>
  <c r="AY55" i="13"/>
  <c r="AZ53" i="13" s="1"/>
  <c r="AW55" i="13"/>
  <c r="AX41" i="13" s="1"/>
  <c r="AU55" i="13"/>
  <c r="AV52" i="13" s="1"/>
  <c r="BM54" i="13"/>
  <c r="BI54" i="13"/>
  <c r="BG54" i="13"/>
  <c r="BE54" i="13"/>
  <c r="BC54" i="13"/>
  <c r="BA54" i="13"/>
  <c r="AY54" i="13"/>
  <c r="AU54" i="13"/>
  <c r="AZ50" i="13"/>
  <c r="AZ48" i="13"/>
  <c r="AZ47" i="13"/>
  <c r="AZ46" i="13"/>
  <c r="AZ45" i="13"/>
  <c r="AZ44" i="13"/>
  <c r="AZ43" i="13"/>
  <c r="BB42" i="13"/>
  <c r="AZ41" i="13"/>
  <c r="AZ40" i="13"/>
  <c r="AZ39" i="13"/>
  <c r="AZ38" i="13"/>
  <c r="AZ37" i="13"/>
  <c r="AV36" i="13"/>
  <c r="AZ35" i="13"/>
  <c r="AZ33" i="13"/>
  <c r="AZ32" i="13"/>
  <c r="BF31" i="13"/>
  <c r="AZ31" i="13"/>
  <c r="AZ30" i="13"/>
  <c r="AZ29" i="13"/>
  <c r="AZ28" i="13"/>
  <c r="AZ27" i="13"/>
  <c r="AV27" i="13"/>
  <c r="AR26" i="13"/>
  <c r="AR25" i="13"/>
  <c r="BL25" i="13" s="1"/>
  <c r="Q25" i="13" s="1"/>
  <c r="AR24" i="13"/>
  <c r="BL24" i="13" s="1"/>
  <c r="Q24" i="13" s="1"/>
  <c r="AR22" i="13"/>
  <c r="BL22" i="13" s="1"/>
  <c r="Q22" i="13" s="1"/>
  <c r="AR21" i="13"/>
  <c r="BL21" i="13" s="1"/>
  <c r="Q21" i="13" s="1"/>
  <c r="AR20" i="13"/>
  <c r="BL20" i="13" s="1"/>
  <c r="Q20" i="13" s="1"/>
  <c r="AR19" i="13"/>
  <c r="BL19" i="13" s="1"/>
  <c r="Q19" i="13" s="1"/>
  <c r="AR18" i="13"/>
  <c r="BL18" i="13" s="1"/>
  <c r="Q18" i="13" s="1"/>
  <c r="BA37" i="15" l="1"/>
  <c r="BI37" i="15"/>
  <c r="BM37" i="15"/>
  <c r="BU37" i="15"/>
  <c r="U37" i="15"/>
  <c r="AE37" i="15"/>
  <c r="AG37" i="15"/>
  <c r="AM37" i="15"/>
  <c r="AO37" i="15"/>
  <c r="AS37" i="15"/>
  <c r="BG37" i="15"/>
  <c r="BQ37" i="15"/>
  <c r="AC37" i="15"/>
  <c r="AK37" i="15"/>
  <c r="AU37" i="15"/>
  <c r="AW37" i="15"/>
  <c r="BC37" i="15"/>
  <c r="BS37" i="15"/>
  <c r="AA37" i="15"/>
  <c r="AI37" i="15"/>
  <c r="AQ37" i="15"/>
  <c r="BE37" i="15"/>
  <c r="BK37" i="15"/>
  <c r="BO37" i="15"/>
  <c r="W37" i="15"/>
  <c r="Y37" i="15"/>
  <c r="AY37" i="15"/>
  <c r="AV28" i="13"/>
  <c r="AV31" i="13"/>
  <c r="BF41" i="13"/>
  <c r="AV49" i="13"/>
  <c r="W35" i="15"/>
  <c r="Y35" i="15"/>
  <c r="AG35" i="15"/>
  <c r="BE35" i="15"/>
  <c r="BI35" i="15"/>
  <c r="BM35" i="15"/>
  <c r="BQ35" i="15"/>
  <c r="AE35" i="15"/>
  <c r="AK35" i="15"/>
  <c r="AM35" i="15"/>
  <c r="AS35" i="15"/>
  <c r="BC35" i="15"/>
  <c r="AY35" i="15"/>
  <c r="BG35" i="15"/>
  <c r="BS35" i="15"/>
  <c r="AA35" i="15"/>
  <c r="AC35" i="15"/>
  <c r="AQ35" i="15"/>
  <c r="AW35" i="15"/>
  <c r="BA35" i="15"/>
  <c r="BK35" i="15"/>
  <c r="BO35" i="15"/>
  <c r="BU35" i="15"/>
  <c r="U35" i="15"/>
  <c r="AI35" i="15"/>
  <c r="AO35" i="15"/>
  <c r="AU35" i="15"/>
  <c r="U33" i="15"/>
  <c r="AA33" i="15"/>
  <c r="AQ33" i="15"/>
  <c r="BA33" i="15"/>
  <c r="BI33" i="15"/>
  <c r="BM33" i="15"/>
  <c r="BQ33" i="15"/>
  <c r="BU33" i="15"/>
  <c r="AK33" i="15"/>
  <c r="AY33" i="15"/>
  <c r="BG33" i="15"/>
  <c r="W33" i="15"/>
  <c r="Y33" i="15"/>
  <c r="AG33" i="15"/>
  <c r="AI33" i="15"/>
  <c r="AO33" i="15"/>
  <c r="AU33" i="15"/>
  <c r="BC33" i="15"/>
  <c r="BS33" i="15"/>
  <c r="AW33" i="15"/>
  <c r="BE33" i="15"/>
  <c r="BK33" i="15"/>
  <c r="BO33" i="15"/>
  <c r="AC33" i="15"/>
  <c r="AE33" i="15"/>
  <c r="AM33" i="15"/>
  <c r="AS33" i="15"/>
  <c r="AA36" i="15"/>
  <c r="AI36" i="15"/>
  <c r="AK36" i="15"/>
  <c r="AQ36" i="15"/>
  <c r="AU36" i="15"/>
  <c r="AW36" i="15"/>
  <c r="BC36" i="15"/>
  <c r="BK36" i="15"/>
  <c r="BO36" i="15"/>
  <c r="AC36" i="15"/>
  <c r="BA36" i="15"/>
  <c r="BS36" i="15"/>
  <c r="U36" i="15"/>
  <c r="Y36" i="15"/>
  <c r="AE36" i="15"/>
  <c r="AM36" i="15"/>
  <c r="AO36" i="15"/>
  <c r="AS36" i="15"/>
  <c r="BE36" i="15"/>
  <c r="W36" i="15"/>
  <c r="AG36" i="15"/>
  <c r="AY36" i="15"/>
  <c r="BG36" i="15"/>
  <c r="BI36" i="15"/>
  <c r="BM36" i="15"/>
  <c r="BQ36" i="15"/>
  <c r="BU36" i="15"/>
  <c r="BD38" i="13"/>
  <c r="BH53" i="13"/>
  <c r="BB34" i="13"/>
  <c r="BF38" i="13"/>
  <c r="BF34" i="13"/>
  <c r="BF45" i="13"/>
  <c r="BJ40" i="13"/>
  <c r="BJ39" i="13"/>
  <c r="BJ27" i="13"/>
  <c r="BJ36" i="13"/>
  <c r="BJ52" i="13"/>
  <c r="BJ28" i="13"/>
  <c r="BJ47" i="13"/>
  <c r="BJ53" i="13"/>
  <c r="BH38" i="13"/>
  <c r="BJ30" i="13"/>
  <c r="BJ49" i="13"/>
  <c r="BD45" i="13"/>
  <c r="BF49" i="13"/>
  <c r="BF29" i="13"/>
  <c r="BD32" i="13"/>
  <c r="BD36" i="13"/>
  <c r="BF42" i="13"/>
  <c r="BD30" i="13"/>
  <c r="BF32" i="13"/>
  <c r="BF36" i="13"/>
  <c r="BF47" i="13"/>
  <c r="BF50" i="13"/>
  <c r="BD49" i="13"/>
  <c r="BD51" i="13"/>
  <c r="BF33" i="13"/>
  <c r="BF40" i="13"/>
  <c r="BF44" i="13"/>
  <c r="BF52" i="13"/>
  <c r="BF53" i="13"/>
  <c r="BF30" i="13"/>
  <c r="BF28" i="13"/>
  <c r="BD53" i="13"/>
  <c r="BD27" i="13"/>
  <c r="BD35" i="13"/>
  <c r="BD37" i="13"/>
  <c r="BD39" i="13"/>
  <c r="BD43" i="13"/>
  <c r="BB50" i="13"/>
  <c r="BF27" i="13"/>
  <c r="BD29" i="13"/>
  <c r="BD33" i="13"/>
  <c r="BF35" i="13"/>
  <c r="BF37" i="13"/>
  <c r="BF39" i="13"/>
  <c r="BD41" i="13"/>
  <c r="BF43" i="13"/>
  <c r="BB46" i="13"/>
  <c r="BF48" i="13"/>
  <c r="BD50" i="13"/>
  <c r="BD46" i="13"/>
  <c r="BJ29" i="13"/>
  <c r="BD31" i="13"/>
  <c r="AZ34" i="13"/>
  <c r="AZ36" i="13"/>
  <c r="BB38" i="13"/>
  <c r="AX40" i="13"/>
  <c r="AZ42" i="13"/>
  <c r="BD44" i="13"/>
  <c r="BF46" i="13"/>
  <c r="AZ49" i="13"/>
  <c r="BJ50" i="13"/>
  <c r="BD28" i="13"/>
  <c r="BB30" i="13"/>
  <c r="BD34" i="13"/>
  <c r="BD40" i="13"/>
  <c r="BD42" i="13"/>
  <c r="BD47" i="13"/>
  <c r="AV34" i="13"/>
  <c r="AV37" i="13"/>
  <c r="AV45" i="13"/>
  <c r="AV50" i="13"/>
  <c r="AV51" i="13"/>
  <c r="BH35" i="13"/>
  <c r="AV40" i="13"/>
  <c r="AV43" i="13"/>
  <c r="BH46" i="13"/>
  <c r="BH48" i="13"/>
  <c r="AX50" i="13"/>
  <c r="AX51" i="13"/>
  <c r="BH28" i="13"/>
  <c r="AV30" i="13"/>
  <c r="AX33" i="13"/>
  <c r="BH37" i="13"/>
  <c r="AX42" i="13"/>
  <c r="BH45" i="13"/>
  <c r="AV35" i="13"/>
  <c r="AV38" i="13"/>
  <c r="AV53" i="13"/>
  <c r="AV33" i="13"/>
  <c r="AV39" i="13"/>
  <c r="BH27" i="13"/>
  <c r="AV29" i="13"/>
  <c r="AV32" i="13"/>
  <c r="BH36" i="13"/>
  <c r="AV48" i="13"/>
  <c r="BH49" i="13"/>
  <c r="BH50" i="13"/>
  <c r="AV42" i="13"/>
  <c r="AX29" i="13"/>
  <c r="AX32" i="13"/>
  <c r="BH39" i="13"/>
  <c r="AV41" i="13"/>
  <c r="AX28" i="13"/>
  <c r="BH33" i="13"/>
  <c r="BH34" i="13"/>
  <c r="BJ35" i="13"/>
  <c r="AX38" i="13"/>
  <c r="AX39" i="13"/>
  <c r="BH44" i="13"/>
  <c r="BJ45" i="13"/>
  <c r="BJ46" i="13"/>
  <c r="AX49" i="13"/>
  <c r="AX27" i="13"/>
  <c r="BH32" i="13"/>
  <c r="BJ33" i="13"/>
  <c r="BJ34" i="13"/>
  <c r="AX37" i="13"/>
  <c r="BH43" i="13"/>
  <c r="BJ44" i="13"/>
  <c r="AV46" i="13"/>
  <c r="AV47" i="13"/>
  <c r="AX48" i="13"/>
  <c r="BH51" i="13"/>
  <c r="AX53" i="13"/>
  <c r="BH31" i="13"/>
  <c r="BJ32" i="13"/>
  <c r="AX36" i="13"/>
  <c r="BH41" i="13"/>
  <c r="BH42" i="13"/>
  <c r="BJ43" i="13"/>
  <c r="AX46" i="13"/>
  <c r="AX47" i="13"/>
  <c r="BJ51" i="13"/>
  <c r="BH29" i="13"/>
  <c r="BH30" i="13"/>
  <c r="BJ31" i="13"/>
  <c r="AX34" i="13"/>
  <c r="AX35" i="13"/>
  <c r="BH40" i="13"/>
  <c r="BJ41" i="13"/>
  <c r="BJ42" i="13"/>
  <c r="AV44" i="13"/>
  <c r="AX45" i="13"/>
  <c r="BD48" i="13"/>
  <c r="AX44" i="13"/>
  <c r="AX52" i="13"/>
  <c r="AX43" i="13"/>
  <c r="AX30" i="13"/>
  <c r="AX31" i="13"/>
  <c r="BJ37" i="13"/>
  <c r="BK37" i="13" s="1"/>
  <c r="BL37" i="13" s="1"/>
  <c r="Q37" i="13" s="1"/>
  <c r="BJ38" i="13"/>
  <c r="BH47" i="13"/>
  <c r="AZ51" i="13"/>
  <c r="BB27" i="13"/>
  <c r="BB31" i="13"/>
  <c r="BB35" i="13"/>
  <c r="BB39" i="13"/>
  <c r="BB43" i="13"/>
  <c r="BB47" i="13"/>
  <c r="BB51" i="13"/>
  <c r="AZ52" i="13"/>
  <c r="BB28" i="13"/>
  <c r="BB32" i="13"/>
  <c r="BB36" i="13"/>
  <c r="BB40" i="13"/>
  <c r="BB44" i="13"/>
  <c r="BB48" i="13"/>
  <c r="BB52" i="13"/>
  <c r="BB29" i="13"/>
  <c r="BB33" i="13"/>
  <c r="BB37" i="13"/>
  <c r="BB41" i="13"/>
  <c r="BB45" i="13"/>
  <c r="BB49" i="13"/>
  <c r="AM16" i="17"/>
  <c r="AM17" i="17"/>
  <c r="AM18" i="17"/>
  <c r="AM19" i="17"/>
  <c r="AM20" i="17"/>
  <c r="AM21" i="17"/>
  <c r="AM22" i="17"/>
  <c r="AM23" i="17"/>
  <c r="AM24" i="17"/>
  <c r="AM25" i="17"/>
  <c r="AM26" i="17"/>
  <c r="AM27" i="17"/>
  <c r="AM28" i="17"/>
  <c r="AM29" i="17"/>
  <c r="AM30" i="17"/>
  <c r="AM75" i="17"/>
  <c r="AA31" i="17"/>
  <c r="AG31" i="17"/>
  <c r="AI31" i="17"/>
  <c r="AE34" i="17"/>
  <c r="AI38" i="17"/>
  <c r="AI69" i="17"/>
  <c r="AI64" i="17"/>
  <c r="AA47" i="17"/>
  <c r="AC47" i="17"/>
  <c r="AE47" i="17"/>
  <c r="AA48" i="17"/>
  <c r="AC48" i="17"/>
  <c r="AE48" i="17"/>
  <c r="AA49" i="17"/>
  <c r="AC49" i="17"/>
  <c r="AE49" i="17"/>
  <c r="AA50" i="17"/>
  <c r="AC50" i="17"/>
  <c r="AE50" i="17"/>
  <c r="AA51" i="17"/>
  <c r="AC51" i="17"/>
  <c r="AE51" i="17"/>
  <c r="AA52" i="17"/>
  <c r="AC52" i="17"/>
  <c r="AE52" i="17"/>
  <c r="AA53" i="17"/>
  <c r="AC53" i="17"/>
  <c r="AE53" i="17"/>
  <c r="C76" i="17"/>
  <c r="E76" i="17"/>
  <c r="G76" i="17"/>
  <c r="I76" i="17"/>
  <c r="K76" i="17"/>
  <c r="M76" i="17"/>
  <c r="O76" i="17"/>
  <c r="Q76" i="17"/>
  <c r="S76" i="17"/>
  <c r="U76" i="17"/>
  <c r="W76" i="17"/>
  <c r="Y76" i="17"/>
  <c r="C77" i="17"/>
  <c r="E77" i="17"/>
  <c r="G77" i="17"/>
  <c r="I77" i="17"/>
  <c r="K77" i="17"/>
  <c r="M77" i="17"/>
  <c r="O77" i="17"/>
  <c r="Q77" i="17"/>
  <c r="S77" i="17"/>
  <c r="U77" i="17"/>
  <c r="W77" i="17"/>
  <c r="Y77" i="17"/>
  <c r="C78" i="17"/>
  <c r="E78" i="17"/>
  <c r="G78" i="17"/>
  <c r="I78" i="17"/>
  <c r="K78" i="17"/>
  <c r="M78" i="17"/>
  <c r="O78" i="17"/>
  <c r="Q78" i="17"/>
  <c r="S78" i="17"/>
  <c r="U78" i="17"/>
  <c r="W78" i="17"/>
  <c r="Y78" i="17"/>
  <c r="I84" i="17"/>
  <c r="O84" i="17"/>
  <c r="Q84" i="17"/>
  <c r="S84" i="17"/>
  <c r="U84" i="17"/>
  <c r="W84" i="17"/>
  <c r="Y84" i="17"/>
  <c r="I85" i="17"/>
  <c r="O85" i="17"/>
  <c r="Q85" i="17"/>
  <c r="S85" i="17"/>
  <c r="U85" i="17"/>
  <c r="W85" i="17"/>
  <c r="Y85" i="17"/>
  <c r="B3" i="16"/>
  <c r="B4" i="16"/>
  <c r="B5" i="16"/>
  <c r="B6" i="16"/>
  <c r="B7" i="16"/>
  <c r="B8" i="16"/>
  <c r="B9" i="16"/>
  <c r="B10" i="16"/>
  <c r="B11" i="16"/>
  <c r="B12" i="16"/>
  <c r="B13" i="16"/>
  <c r="B14" i="16"/>
  <c r="B15" i="16"/>
  <c r="B16" i="16"/>
  <c r="B17" i="16"/>
  <c r="B18" i="16"/>
  <c r="B19" i="16"/>
  <c r="E19" i="16"/>
  <c r="AC31" i="17" s="1"/>
  <c r="G19" i="16"/>
  <c r="I19" i="16"/>
  <c r="K19" i="16"/>
  <c r="M19" i="16"/>
  <c r="O19" i="16"/>
  <c r="Q19" i="16"/>
  <c r="S19" i="16"/>
  <c r="U19" i="16"/>
  <c r="W19" i="16"/>
  <c r="X19" i="16"/>
  <c r="Z19" i="16"/>
  <c r="AB19" i="16"/>
  <c r="AD19" i="16"/>
  <c r="AF19" i="16"/>
  <c r="B20" i="16"/>
  <c r="E20" i="16"/>
  <c r="G20" i="16"/>
  <c r="I20" i="16"/>
  <c r="K20" i="16"/>
  <c r="M20" i="16"/>
  <c r="AE20" i="16" s="1"/>
  <c r="O20" i="16"/>
  <c r="Q20" i="16"/>
  <c r="S20" i="16"/>
  <c r="U20" i="16"/>
  <c r="W20" i="16"/>
  <c r="X20" i="16"/>
  <c r="Z20" i="16"/>
  <c r="AB20" i="16"/>
  <c r="AD20" i="16"/>
  <c r="AF20" i="16"/>
  <c r="AG20" i="16"/>
  <c r="B21" i="16"/>
  <c r="E21" i="16"/>
  <c r="G21" i="16"/>
  <c r="I21" i="16"/>
  <c r="K21" i="16"/>
  <c r="M21" i="16"/>
  <c r="O21" i="16"/>
  <c r="AA21" i="16" s="1"/>
  <c r="Q21" i="16"/>
  <c r="S21" i="16"/>
  <c r="U21" i="16"/>
  <c r="W21" i="16"/>
  <c r="X21" i="16"/>
  <c r="Z21" i="16"/>
  <c r="AB21" i="16"/>
  <c r="AD21" i="16"/>
  <c r="AF21" i="16"/>
  <c r="B22" i="16"/>
  <c r="E22" i="16"/>
  <c r="G22" i="16"/>
  <c r="I22" i="16"/>
  <c r="K22" i="16"/>
  <c r="M22" i="16"/>
  <c r="O22" i="16"/>
  <c r="Q22" i="16"/>
  <c r="S22" i="16"/>
  <c r="U22" i="16"/>
  <c r="W22" i="16"/>
  <c r="X22" i="16"/>
  <c r="Z22" i="16"/>
  <c r="AB22" i="16"/>
  <c r="AC22" i="16"/>
  <c r="AD22" i="16"/>
  <c r="AF22" i="16"/>
  <c r="B23" i="16"/>
  <c r="E23" i="16"/>
  <c r="G23" i="16"/>
  <c r="I23" i="16"/>
  <c r="K23" i="16"/>
  <c r="M23" i="16"/>
  <c r="O23" i="16"/>
  <c r="Q23" i="16"/>
  <c r="S23" i="16"/>
  <c r="U23" i="16"/>
  <c r="W23" i="16"/>
  <c r="X23" i="16"/>
  <c r="Z23" i="16"/>
  <c r="AB23" i="16"/>
  <c r="AD23" i="16"/>
  <c r="AF23" i="16"/>
  <c r="B24" i="16"/>
  <c r="E24" i="16"/>
  <c r="AE35" i="17" s="1"/>
  <c r="G24" i="16"/>
  <c r="I24" i="16"/>
  <c r="K24" i="16"/>
  <c r="M24" i="16"/>
  <c r="O24" i="16"/>
  <c r="Q24" i="16"/>
  <c r="S24" i="16"/>
  <c r="U24" i="16"/>
  <c r="W24" i="16"/>
  <c r="X24" i="16"/>
  <c r="Z24" i="16"/>
  <c r="AB24" i="16"/>
  <c r="AD24" i="16"/>
  <c r="AF24" i="16"/>
  <c r="B25" i="16"/>
  <c r="E25" i="16"/>
  <c r="G25" i="16"/>
  <c r="I25" i="16"/>
  <c r="K25" i="16"/>
  <c r="M25" i="16"/>
  <c r="AE25" i="16" s="1"/>
  <c r="O25" i="16"/>
  <c r="Q25" i="16"/>
  <c r="S25" i="16"/>
  <c r="U25" i="16"/>
  <c r="W25" i="16"/>
  <c r="X25" i="16"/>
  <c r="Z25" i="16"/>
  <c r="AA25" i="16"/>
  <c r="AB25" i="16"/>
  <c r="AD25" i="16"/>
  <c r="AF25" i="16"/>
  <c r="B26" i="16"/>
  <c r="E26" i="16"/>
  <c r="AE37" i="17" s="1"/>
  <c r="G26" i="16"/>
  <c r="I26" i="16"/>
  <c r="K26" i="16"/>
  <c r="M26" i="16"/>
  <c r="O26" i="16"/>
  <c r="Q26" i="16"/>
  <c r="S26" i="16"/>
  <c r="U26" i="16"/>
  <c r="W26" i="16"/>
  <c r="X26" i="16"/>
  <c r="Z26" i="16"/>
  <c r="AB26" i="16"/>
  <c r="AD26" i="16"/>
  <c r="AF26" i="16"/>
  <c r="B27" i="16"/>
  <c r="E27" i="16"/>
  <c r="AA38" i="17" s="1"/>
  <c r="G27" i="16"/>
  <c r="I27" i="16"/>
  <c r="I63" i="16" s="1"/>
  <c r="K27" i="16"/>
  <c r="M27" i="16"/>
  <c r="O27" i="16"/>
  <c r="Q27" i="16"/>
  <c r="S27" i="16"/>
  <c r="U27" i="16"/>
  <c r="W27" i="16"/>
  <c r="X27" i="16"/>
  <c r="Z27" i="16"/>
  <c r="AB27" i="16"/>
  <c r="AD27" i="16"/>
  <c r="AE27" i="16"/>
  <c r="AF27" i="16"/>
  <c r="B28" i="16"/>
  <c r="E28" i="16"/>
  <c r="G28" i="16"/>
  <c r="I28" i="16"/>
  <c r="K28" i="16"/>
  <c r="M28" i="16"/>
  <c r="O28" i="16"/>
  <c r="Q28" i="16"/>
  <c r="S28" i="16"/>
  <c r="U28" i="16"/>
  <c r="W28" i="16"/>
  <c r="X28" i="16"/>
  <c r="Z28" i="16"/>
  <c r="AB28" i="16"/>
  <c r="AD28" i="16"/>
  <c r="AF28" i="16"/>
  <c r="B29" i="16"/>
  <c r="E29" i="16"/>
  <c r="G29" i="16"/>
  <c r="I29" i="16"/>
  <c r="K29" i="16"/>
  <c r="M29" i="16"/>
  <c r="M65" i="16" s="1"/>
  <c r="O29" i="16"/>
  <c r="Q29" i="16"/>
  <c r="S29" i="16"/>
  <c r="U29" i="16"/>
  <c r="W29" i="16"/>
  <c r="X29" i="16"/>
  <c r="Z29" i="16"/>
  <c r="AA29" i="16"/>
  <c r="AB29" i="16"/>
  <c r="AD29" i="16"/>
  <c r="AF29" i="16"/>
  <c r="B30" i="16"/>
  <c r="E30" i="16"/>
  <c r="G30" i="16"/>
  <c r="I30" i="16"/>
  <c r="K30" i="16"/>
  <c r="M30" i="16"/>
  <c r="O30" i="16"/>
  <c r="Q30" i="16"/>
  <c r="S30" i="16"/>
  <c r="U30" i="16"/>
  <c r="W30" i="16"/>
  <c r="X30" i="16"/>
  <c r="Z30" i="16"/>
  <c r="AB30" i="16"/>
  <c r="AD30" i="16"/>
  <c r="AF30" i="16"/>
  <c r="B31" i="16"/>
  <c r="E31" i="16"/>
  <c r="G31" i="16"/>
  <c r="I31" i="16"/>
  <c r="K31" i="16"/>
  <c r="M31" i="16"/>
  <c r="O31" i="16"/>
  <c r="Q31" i="16"/>
  <c r="S31" i="16"/>
  <c r="U31" i="16"/>
  <c r="W31" i="16"/>
  <c r="X31" i="16"/>
  <c r="Z31" i="16"/>
  <c r="AB31" i="16"/>
  <c r="AD31" i="16"/>
  <c r="AE31" i="16"/>
  <c r="AF31" i="16"/>
  <c r="B32" i="16"/>
  <c r="E32" i="16"/>
  <c r="G32" i="16"/>
  <c r="AA32" i="16" s="1"/>
  <c r="I32" i="16"/>
  <c r="K32" i="16"/>
  <c r="M32" i="16"/>
  <c r="O32" i="16"/>
  <c r="Q32" i="16"/>
  <c r="S32" i="16"/>
  <c r="U32" i="16"/>
  <c r="W32" i="16"/>
  <c r="X32" i="16"/>
  <c r="Z32" i="16"/>
  <c r="AB32" i="16"/>
  <c r="AD32" i="16"/>
  <c r="AF32" i="16"/>
  <c r="B33" i="16"/>
  <c r="E33" i="16"/>
  <c r="G33" i="16"/>
  <c r="I33" i="16"/>
  <c r="K33" i="16"/>
  <c r="AA33" i="16" s="1"/>
  <c r="M33" i="16"/>
  <c r="O33" i="16"/>
  <c r="Q33" i="16"/>
  <c r="S33" i="16"/>
  <c r="U33" i="16"/>
  <c r="W33" i="16"/>
  <c r="X33" i="16"/>
  <c r="Z33" i="16"/>
  <c r="AB33" i="16"/>
  <c r="AD33" i="16"/>
  <c r="AF33" i="16"/>
  <c r="B34" i="16"/>
  <c r="E34" i="16"/>
  <c r="G34" i="16"/>
  <c r="I34" i="16"/>
  <c r="AA34" i="16" s="1"/>
  <c r="K34" i="16"/>
  <c r="M34" i="16"/>
  <c r="O34" i="16"/>
  <c r="Q34" i="16"/>
  <c r="S34" i="16"/>
  <c r="U34" i="16"/>
  <c r="W34" i="16"/>
  <c r="X34" i="16"/>
  <c r="Z34" i="16"/>
  <c r="AB34" i="16"/>
  <c r="AD34" i="16"/>
  <c r="AF34" i="16"/>
  <c r="B35" i="16"/>
  <c r="E35" i="16"/>
  <c r="G35" i="16"/>
  <c r="AC35" i="16" s="1"/>
  <c r="I35" i="16"/>
  <c r="K35" i="16"/>
  <c r="M35" i="16"/>
  <c r="O35" i="16"/>
  <c r="Q35" i="16"/>
  <c r="S35" i="16"/>
  <c r="U35" i="16"/>
  <c r="W35" i="16"/>
  <c r="X35" i="16"/>
  <c r="Z35" i="16"/>
  <c r="AB35" i="16"/>
  <c r="AD35" i="16"/>
  <c r="AF35" i="16"/>
  <c r="B36" i="16"/>
  <c r="E36" i="16"/>
  <c r="G36" i="16"/>
  <c r="Y36" i="16" s="1"/>
  <c r="I36" i="16"/>
  <c r="K36" i="16"/>
  <c r="M36" i="16"/>
  <c r="O36" i="16"/>
  <c r="Q36" i="16"/>
  <c r="S36" i="16"/>
  <c r="U36" i="16"/>
  <c r="W36" i="16"/>
  <c r="X36" i="16"/>
  <c r="Z36" i="16"/>
  <c r="AB36" i="16"/>
  <c r="AD36" i="16"/>
  <c r="AF36" i="16"/>
  <c r="B37" i="16"/>
  <c r="E37" i="16"/>
  <c r="AI71" i="17" s="1"/>
  <c r="G37" i="16"/>
  <c r="I37" i="16"/>
  <c r="K37" i="16"/>
  <c r="AA37" i="16" s="1"/>
  <c r="M37" i="16"/>
  <c r="O37" i="16"/>
  <c r="Q37" i="16"/>
  <c r="S37" i="16"/>
  <c r="U37" i="16"/>
  <c r="W37" i="16"/>
  <c r="X37" i="16"/>
  <c r="Z37" i="16"/>
  <c r="AB37" i="16"/>
  <c r="AD37" i="16"/>
  <c r="AF37" i="16"/>
  <c r="B38" i="16"/>
  <c r="E38" i="16"/>
  <c r="G38" i="16"/>
  <c r="I38" i="16"/>
  <c r="AA38" i="16" s="1"/>
  <c r="K38" i="16"/>
  <c r="M38" i="16"/>
  <c r="O38" i="16"/>
  <c r="Q38" i="16"/>
  <c r="S38" i="16"/>
  <c r="U38" i="16"/>
  <c r="W38" i="16"/>
  <c r="X38" i="16"/>
  <c r="Z38" i="16"/>
  <c r="AB38" i="16"/>
  <c r="AD38" i="16"/>
  <c r="AF38" i="16"/>
  <c r="B39" i="16"/>
  <c r="E39" i="16"/>
  <c r="G39" i="16"/>
  <c r="AC39" i="16" s="1"/>
  <c r="I39" i="16"/>
  <c r="K39" i="16"/>
  <c r="M39" i="16"/>
  <c r="O39" i="16"/>
  <c r="Q39" i="16"/>
  <c r="S39" i="16"/>
  <c r="U39" i="16"/>
  <c r="W39" i="16"/>
  <c r="X39" i="16"/>
  <c r="Z39" i="16"/>
  <c r="AB39" i="16"/>
  <c r="AD39" i="16"/>
  <c r="AF39" i="16"/>
  <c r="B40" i="16"/>
  <c r="E40" i="16"/>
  <c r="G40" i="16"/>
  <c r="Y40" i="16" s="1"/>
  <c r="I40" i="16"/>
  <c r="K40" i="16"/>
  <c r="M40" i="16"/>
  <c r="O40" i="16"/>
  <c r="Q40" i="16"/>
  <c r="S40" i="16"/>
  <c r="U40" i="16"/>
  <c r="W40" i="16"/>
  <c r="X40" i="16"/>
  <c r="Z40" i="16"/>
  <c r="AB40" i="16"/>
  <c r="AD40" i="16"/>
  <c r="AF40" i="16"/>
  <c r="AG40" i="16"/>
  <c r="B41" i="16"/>
  <c r="E41" i="16"/>
  <c r="G41" i="16"/>
  <c r="I41" i="16"/>
  <c r="AE41" i="16" s="1"/>
  <c r="K41" i="16"/>
  <c r="M41" i="16"/>
  <c r="O41" i="16"/>
  <c r="Q41" i="16"/>
  <c r="S41" i="16"/>
  <c r="U41" i="16"/>
  <c r="W41" i="16"/>
  <c r="X41" i="16"/>
  <c r="X65" i="16" s="1"/>
  <c r="Z41" i="16"/>
  <c r="AB41" i="16"/>
  <c r="AD41" i="16"/>
  <c r="AD65" i="16" s="1"/>
  <c r="AF41" i="16"/>
  <c r="B42" i="16"/>
  <c r="E42" i="16"/>
  <c r="G42" i="16"/>
  <c r="I42" i="16"/>
  <c r="K42" i="16"/>
  <c r="M42" i="16"/>
  <c r="O42" i="16"/>
  <c r="Q42" i="16"/>
  <c r="S42" i="16"/>
  <c r="U42" i="16"/>
  <c r="W42" i="16"/>
  <c r="X42" i="16"/>
  <c r="Z42" i="16"/>
  <c r="AB42" i="16"/>
  <c r="AD42" i="16"/>
  <c r="AF42" i="16"/>
  <c r="B43" i="16"/>
  <c r="E43" i="16"/>
  <c r="G43" i="16"/>
  <c r="AC43" i="16" s="1"/>
  <c r="I43" i="16"/>
  <c r="K43" i="16"/>
  <c r="M43" i="16"/>
  <c r="O43" i="16"/>
  <c r="Q43" i="16"/>
  <c r="S43" i="16"/>
  <c r="U43" i="16"/>
  <c r="W43" i="16"/>
  <c r="X43" i="16"/>
  <c r="Z43" i="16"/>
  <c r="AB43" i="16"/>
  <c r="AD43" i="16"/>
  <c r="AF43" i="16"/>
  <c r="B44" i="16"/>
  <c r="E44" i="16"/>
  <c r="AI56" i="17" s="1"/>
  <c r="G44" i="16"/>
  <c r="AG44" i="16" s="1"/>
  <c r="I44" i="16"/>
  <c r="K44" i="16"/>
  <c r="M44" i="16"/>
  <c r="O44" i="16"/>
  <c r="Q44" i="16"/>
  <c r="S44" i="16"/>
  <c r="U44" i="16"/>
  <c r="W44" i="16"/>
  <c r="X44" i="16"/>
  <c r="Z44" i="16"/>
  <c r="AB44" i="16"/>
  <c r="AD44" i="16"/>
  <c r="AF44" i="16"/>
  <c r="B45" i="16"/>
  <c r="E45" i="16"/>
  <c r="G45" i="16"/>
  <c r="I45" i="16"/>
  <c r="K45" i="16"/>
  <c r="AA45" i="16" s="1"/>
  <c r="M45" i="16"/>
  <c r="O45" i="16"/>
  <c r="Q45" i="16"/>
  <c r="S45" i="16"/>
  <c r="U45" i="16"/>
  <c r="W45" i="16"/>
  <c r="X45" i="16"/>
  <c r="Z45" i="16"/>
  <c r="AB45" i="16"/>
  <c r="AD45" i="16"/>
  <c r="AF45" i="16"/>
  <c r="B46" i="16"/>
  <c r="E46" i="16"/>
  <c r="AI58" i="17" s="1"/>
  <c r="G46" i="16"/>
  <c r="I46" i="16"/>
  <c r="K46" i="16"/>
  <c r="M46" i="16"/>
  <c r="O46" i="16"/>
  <c r="Q46" i="16"/>
  <c r="S46" i="16"/>
  <c r="U46" i="16"/>
  <c r="W46" i="16"/>
  <c r="X46" i="16"/>
  <c r="Z46" i="16"/>
  <c r="AB46" i="16"/>
  <c r="AD46" i="16"/>
  <c r="AF46" i="16"/>
  <c r="B47" i="16"/>
  <c r="E47" i="16"/>
  <c r="G47" i="16"/>
  <c r="AC47" i="16" s="1"/>
  <c r="I47" i="16"/>
  <c r="K47" i="16"/>
  <c r="M47" i="16"/>
  <c r="O47" i="16"/>
  <c r="Q47" i="16"/>
  <c r="S47" i="16"/>
  <c r="U47" i="16"/>
  <c r="W47" i="16"/>
  <c r="X47" i="16"/>
  <c r="Z47" i="16"/>
  <c r="AB47" i="16"/>
  <c r="AD47" i="16"/>
  <c r="AF47" i="16"/>
  <c r="B48" i="16"/>
  <c r="E48" i="16"/>
  <c r="AI60" i="17" s="1"/>
  <c r="G48" i="16"/>
  <c r="AG48" i="16" s="1"/>
  <c r="I48" i="16"/>
  <c r="K48" i="16"/>
  <c r="M48" i="16"/>
  <c r="O48" i="16"/>
  <c r="Q48" i="16"/>
  <c r="S48" i="16"/>
  <c r="U48" i="16"/>
  <c r="W48" i="16"/>
  <c r="X48" i="16"/>
  <c r="Z48" i="16"/>
  <c r="AB48" i="16"/>
  <c r="AD48" i="16"/>
  <c r="AF48" i="16"/>
  <c r="B49" i="16"/>
  <c r="E49" i="16"/>
  <c r="G49" i="16"/>
  <c r="I49" i="16"/>
  <c r="K49" i="16"/>
  <c r="AA49" i="16" s="1"/>
  <c r="M49" i="16"/>
  <c r="O49" i="16"/>
  <c r="Q49" i="16"/>
  <c r="S49" i="16"/>
  <c r="U49" i="16"/>
  <c r="W49" i="16"/>
  <c r="X49" i="16"/>
  <c r="Z49" i="16"/>
  <c r="AB49" i="16"/>
  <c r="AD49" i="16"/>
  <c r="AF49" i="16"/>
  <c r="B50" i="16"/>
  <c r="E50" i="16"/>
  <c r="G50" i="16"/>
  <c r="I50" i="16"/>
  <c r="AA50" i="16" s="1"/>
  <c r="K50" i="16"/>
  <c r="M50" i="16"/>
  <c r="O50" i="16"/>
  <c r="Q50" i="16"/>
  <c r="S50" i="16"/>
  <c r="U50" i="16"/>
  <c r="W50" i="16"/>
  <c r="X50" i="16"/>
  <c r="Z50" i="16"/>
  <c r="AB50" i="16"/>
  <c r="AD50" i="16"/>
  <c r="AF50" i="16"/>
  <c r="B51" i="16"/>
  <c r="E51" i="16"/>
  <c r="G51" i="16"/>
  <c r="I51" i="16"/>
  <c r="K51" i="16"/>
  <c r="M51" i="16"/>
  <c r="O51" i="16"/>
  <c r="Q51" i="16"/>
  <c r="S51" i="16"/>
  <c r="U51" i="16"/>
  <c r="W51" i="16"/>
  <c r="X51" i="16"/>
  <c r="Z51" i="16"/>
  <c r="AB51" i="16"/>
  <c r="AD51" i="16"/>
  <c r="AF51" i="16"/>
  <c r="B52" i="16"/>
  <c r="E52" i="16"/>
  <c r="G52" i="16"/>
  <c r="I52" i="16"/>
  <c r="K52" i="16"/>
  <c r="M52" i="16"/>
  <c r="O52" i="16"/>
  <c r="Q52" i="16"/>
  <c r="S52" i="16"/>
  <c r="U52" i="16"/>
  <c r="W52" i="16"/>
  <c r="X52" i="16"/>
  <c r="Z52" i="16"/>
  <c r="AB52" i="16"/>
  <c r="AD52" i="16"/>
  <c r="AF52" i="16"/>
  <c r="B53" i="16"/>
  <c r="E53" i="16"/>
  <c r="G53" i="16"/>
  <c r="Y53" i="16" s="1"/>
  <c r="I53" i="16"/>
  <c r="K53" i="16"/>
  <c r="M53" i="16"/>
  <c r="O53" i="16"/>
  <c r="AA53" i="16" s="1"/>
  <c r="Q53" i="16"/>
  <c r="S53" i="16"/>
  <c r="U53" i="16"/>
  <c r="W53" i="16"/>
  <c r="X53" i="16"/>
  <c r="Z53" i="16"/>
  <c r="AB53" i="16"/>
  <c r="AD53" i="16"/>
  <c r="AF53" i="16"/>
  <c r="B54" i="16"/>
  <c r="E54" i="16"/>
  <c r="G54" i="16"/>
  <c r="I54" i="16"/>
  <c r="K54" i="16"/>
  <c r="M54" i="16"/>
  <c r="O54" i="16"/>
  <c r="Q54" i="16"/>
  <c r="S54" i="16"/>
  <c r="U54" i="16"/>
  <c r="W54" i="16"/>
  <c r="X54" i="16"/>
  <c r="Z54" i="16"/>
  <c r="AB54" i="16"/>
  <c r="AC54" i="16"/>
  <c r="AD54" i="16"/>
  <c r="AF54" i="16"/>
  <c r="B55" i="16"/>
  <c r="E55" i="16"/>
  <c r="G55" i="16"/>
  <c r="I55" i="16"/>
  <c r="K55" i="16"/>
  <c r="M55" i="16"/>
  <c r="O55" i="16"/>
  <c r="Q55" i="16"/>
  <c r="S55" i="16"/>
  <c r="U55" i="16"/>
  <c r="W55" i="16"/>
  <c r="X55" i="16"/>
  <c r="Z55" i="16"/>
  <c r="AB55" i="16"/>
  <c r="AD55" i="16"/>
  <c r="AF55" i="16"/>
  <c r="B56" i="16"/>
  <c r="E56" i="16"/>
  <c r="G56" i="16"/>
  <c r="I56" i="16"/>
  <c r="K56" i="16"/>
  <c r="M56" i="16"/>
  <c r="O56" i="16"/>
  <c r="Q56" i="16"/>
  <c r="S56" i="16"/>
  <c r="U56" i="16"/>
  <c r="W56" i="16"/>
  <c r="B57" i="16"/>
  <c r="E57" i="16"/>
  <c r="G57" i="16"/>
  <c r="I57" i="16"/>
  <c r="K57" i="16"/>
  <c r="M57" i="16"/>
  <c r="O57" i="16"/>
  <c r="Q57" i="16"/>
  <c r="S57" i="16"/>
  <c r="U57" i="16"/>
  <c r="W57" i="16"/>
  <c r="B58" i="16"/>
  <c r="E58" i="16"/>
  <c r="AI49" i="17" s="1"/>
  <c r="G58" i="16"/>
  <c r="I58" i="16"/>
  <c r="K58" i="16"/>
  <c r="M58" i="16"/>
  <c r="O58" i="16"/>
  <c r="Q58" i="16"/>
  <c r="S58" i="16"/>
  <c r="U58" i="16"/>
  <c r="W58" i="16"/>
  <c r="B59" i="16"/>
  <c r="E59" i="16"/>
  <c r="G59" i="16"/>
  <c r="I59" i="16"/>
  <c r="K59" i="16"/>
  <c r="X59" i="16" s="1"/>
  <c r="M59" i="16"/>
  <c r="O59" i="16"/>
  <c r="Q59" i="16"/>
  <c r="S59" i="16"/>
  <c r="U59" i="16"/>
  <c r="W59" i="16"/>
  <c r="B60" i="16"/>
  <c r="E60" i="16"/>
  <c r="G60" i="16"/>
  <c r="I60" i="16"/>
  <c r="K60" i="16"/>
  <c r="M60" i="16"/>
  <c r="O60" i="16"/>
  <c r="Q60" i="16"/>
  <c r="S60" i="16"/>
  <c r="U60" i="16"/>
  <c r="W60" i="16"/>
  <c r="B61" i="16"/>
  <c r="E61" i="16"/>
  <c r="G61" i="16"/>
  <c r="I61" i="16"/>
  <c r="K61" i="16"/>
  <c r="M61" i="16"/>
  <c r="O61" i="16"/>
  <c r="Q61" i="16"/>
  <c r="S61" i="16"/>
  <c r="U61" i="16"/>
  <c r="W61" i="16"/>
  <c r="B62" i="16"/>
  <c r="E62" i="16"/>
  <c r="G62" i="16"/>
  <c r="I62" i="16"/>
  <c r="K62" i="16"/>
  <c r="M62" i="16"/>
  <c r="O62" i="16"/>
  <c r="Q62" i="16"/>
  <c r="S62" i="16"/>
  <c r="U62" i="16"/>
  <c r="W62" i="16"/>
  <c r="D63" i="16"/>
  <c r="F63" i="16"/>
  <c r="H63" i="16"/>
  <c r="J63" i="16"/>
  <c r="L63" i="16"/>
  <c r="N63" i="16"/>
  <c r="P63" i="16"/>
  <c r="Q63" i="16"/>
  <c r="R63" i="16"/>
  <c r="T63" i="16"/>
  <c r="V63" i="16"/>
  <c r="AF63" i="16"/>
  <c r="D65" i="16"/>
  <c r="F65" i="16"/>
  <c r="H65" i="16"/>
  <c r="J65" i="16"/>
  <c r="K65" i="16"/>
  <c r="L65" i="16"/>
  <c r="N65" i="16"/>
  <c r="P65" i="16"/>
  <c r="Q65" i="16"/>
  <c r="R65" i="16"/>
  <c r="S65" i="16"/>
  <c r="T65" i="16"/>
  <c r="U65" i="16"/>
  <c r="V65" i="16"/>
  <c r="Z65" i="16"/>
  <c r="AB65" i="16"/>
  <c r="AK51" i="17" l="1"/>
  <c r="AG51" i="17"/>
  <c r="AA46" i="16"/>
  <c r="AG44" i="17"/>
  <c r="AI44" i="17"/>
  <c r="AK44" i="17"/>
  <c r="AK40" i="17"/>
  <c r="AG40" i="17"/>
  <c r="AG78" i="17" s="1"/>
  <c r="AA28" i="16"/>
  <c r="AC36" i="17"/>
  <c r="AK36" i="17"/>
  <c r="AE36" i="17"/>
  <c r="AM36" i="17" s="1"/>
  <c r="AG36" i="17"/>
  <c r="AC74" i="17"/>
  <c r="AK74" i="17"/>
  <c r="AE74" i="17"/>
  <c r="AM74" i="17" s="1"/>
  <c r="AG74" i="17"/>
  <c r="J79" i="17"/>
  <c r="J51" i="17" s="1"/>
  <c r="R79" i="17"/>
  <c r="R20" i="17" s="1"/>
  <c r="Z79" i="17"/>
  <c r="Z30" i="17" s="1"/>
  <c r="D79" i="17"/>
  <c r="D61" i="17" s="1"/>
  <c r="L79" i="17"/>
  <c r="L43" i="17" s="1"/>
  <c r="T79" i="17"/>
  <c r="T28" i="17" s="1"/>
  <c r="F79" i="17"/>
  <c r="F53" i="17" s="1"/>
  <c r="N79" i="17"/>
  <c r="N42" i="17" s="1"/>
  <c r="V79" i="17"/>
  <c r="V53" i="17" s="1"/>
  <c r="AA36" i="17"/>
  <c r="X60" i="16"/>
  <c r="AG48" i="17"/>
  <c r="AI48" i="17"/>
  <c r="AK48" i="17"/>
  <c r="X56" i="16"/>
  <c r="X64" i="16" s="1"/>
  <c r="AG54" i="16"/>
  <c r="AK66" i="17"/>
  <c r="AG66" i="17"/>
  <c r="AG65" i="17"/>
  <c r="AI65" i="17"/>
  <c r="AK65" i="17"/>
  <c r="AA52" i="16"/>
  <c r="AC51" i="16"/>
  <c r="AE49" i="16"/>
  <c r="AC48" i="16"/>
  <c r="AB64" i="16"/>
  <c r="AG59" i="17"/>
  <c r="AI59" i="17"/>
  <c r="AK59" i="17"/>
  <c r="AC46" i="16"/>
  <c r="AE45" i="16"/>
  <c r="Y44" i="16"/>
  <c r="AG55" i="17"/>
  <c r="AI55" i="17"/>
  <c r="AK55" i="17"/>
  <c r="Y42" i="16"/>
  <c r="W65" i="16"/>
  <c r="O65" i="16"/>
  <c r="Y41" i="16"/>
  <c r="Y65" i="16" s="1"/>
  <c r="U63" i="16"/>
  <c r="E63" i="16"/>
  <c r="AK43" i="17"/>
  <c r="AG43" i="17"/>
  <c r="AC38" i="16"/>
  <c r="AE37" i="16"/>
  <c r="AG36" i="16"/>
  <c r="AK69" i="17"/>
  <c r="AG69" i="17"/>
  <c r="AC34" i="16"/>
  <c r="AE33" i="16"/>
  <c r="AG32" i="16"/>
  <c r="AG41" i="17"/>
  <c r="AI41" i="17"/>
  <c r="AK41" i="17"/>
  <c r="AC31" i="16"/>
  <c r="AA30" i="16"/>
  <c r="Z64" i="16"/>
  <c r="AG39" i="17"/>
  <c r="AI39" i="17"/>
  <c r="AK39" i="17"/>
  <c r="AC27" i="16"/>
  <c r="AG26" i="16"/>
  <c r="AA26" i="16"/>
  <c r="K63" i="16"/>
  <c r="AG34" i="17"/>
  <c r="AA34" i="17"/>
  <c r="AI34" i="17"/>
  <c r="AI76" i="17" s="1"/>
  <c r="AC34" i="17"/>
  <c r="AK34" i="17"/>
  <c r="AC33" i="17"/>
  <c r="AK33" i="17"/>
  <c r="AM33" i="17" s="1"/>
  <c r="AE33" i="17"/>
  <c r="AG33" i="17"/>
  <c r="AC19" i="16"/>
  <c r="AA19" i="16"/>
  <c r="AG19" i="16"/>
  <c r="P79" i="17"/>
  <c r="P46" i="17" s="1"/>
  <c r="AI66" i="17"/>
  <c r="AI40" i="17"/>
  <c r="AI33" i="17"/>
  <c r="AK47" i="17"/>
  <c r="AG47" i="17"/>
  <c r="AM47" i="17" s="1"/>
  <c r="AG70" i="17"/>
  <c r="AI70" i="17"/>
  <c r="AK70" i="17"/>
  <c r="Y21" i="16"/>
  <c r="AI47" i="17"/>
  <c r="AG52" i="17"/>
  <c r="AI52" i="17"/>
  <c r="AK52" i="17"/>
  <c r="E65" i="16"/>
  <c r="AB63" i="16"/>
  <c r="AK53" i="17"/>
  <c r="AG53" i="17"/>
  <c r="AM53" i="17" s="1"/>
  <c r="AK49" i="17"/>
  <c r="AG49" i="17"/>
  <c r="AK64" i="17"/>
  <c r="AG64" i="17"/>
  <c r="AG63" i="17"/>
  <c r="AI63" i="17"/>
  <c r="AK63" i="17"/>
  <c r="AK62" i="17"/>
  <c r="AG62" i="17"/>
  <c r="Y49" i="16"/>
  <c r="AE48" i="16"/>
  <c r="Y46" i="16"/>
  <c r="AK58" i="17"/>
  <c r="AG58" i="17"/>
  <c r="Y45" i="16"/>
  <c r="AE44" i="16"/>
  <c r="AC42" i="16"/>
  <c r="AA41" i="16"/>
  <c r="AE40" i="16"/>
  <c r="M63" i="16"/>
  <c r="AG42" i="17"/>
  <c r="AI42" i="17"/>
  <c r="AK42" i="17"/>
  <c r="Y37" i="16"/>
  <c r="AE36" i="16"/>
  <c r="AG68" i="17"/>
  <c r="AI68" i="17"/>
  <c r="AK68" i="17"/>
  <c r="Y33" i="16"/>
  <c r="Y32" i="16"/>
  <c r="AK73" i="17"/>
  <c r="AG73" i="17"/>
  <c r="AC30" i="16"/>
  <c r="AE29" i="16"/>
  <c r="AG28" i="16"/>
  <c r="Y28" i="16"/>
  <c r="AC38" i="17"/>
  <c r="AK38" i="17"/>
  <c r="AE38" i="17"/>
  <c r="AG38" i="17"/>
  <c r="AM38" i="17" s="1"/>
  <c r="AC26" i="16"/>
  <c r="AE24" i="16"/>
  <c r="S63" i="16"/>
  <c r="AA22" i="16"/>
  <c r="Y20" i="16"/>
  <c r="H79" i="17"/>
  <c r="H69" i="17" s="1"/>
  <c r="AI51" i="17"/>
  <c r="AI43" i="17"/>
  <c r="AI73" i="17"/>
  <c r="AI74" i="17"/>
  <c r="AA33" i="17"/>
  <c r="AG46" i="17"/>
  <c r="AI46" i="17"/>
  <c r="AK46" i="17"/>
  <c r="AE52" i="16"/>
  <c r="AK60" i="17"/>
  <c r="AG60" i="17"/>
  <c r="AK56" i="17"/>
  <c r="AG56" i="17"/>
  <c r="AG35" i="17"/>
  <c r="AA35" i="17"/>
  <c r="AI35" i="17"/>
  <c r="AC35" i="17"/>
  <c r="AM35" i="17" s="1"/>
  <c r="AK35" i="17"/>
  <c r="I65" i="16"/>
  <c r="AD63" i="16"/>
  <c r="X62" i="16"/>
  <c r="X61" i="16"/>
  <c r="AG50" i="17"/>
  <c r="AI50" i="17"/>
  <c r="AK50" i="17"/>
  <c r="AM50" i="17" s="1"/>
  <c r="X58" i="16"/>
  <c r="X57" i="16"/>
  <c r="AC55" i="16"/>
  <c r="AA54" i="16"/>
  <c r="AE53" i="16"/>
  <c r="AG52" i="16"/>
  <c r="Y52" i="16"/>
  <c r="AC50" i="16"/>
  <c r="AG50" i="16"/>
  <c r="AG61" i="17"/>
  <c r="AI61" i="17"/>
  <c r="AK61" i="17"/>
  <c r="AA48" i="16"/>
  <c r="AE47" i="16"/>
  <c r="AG57" i="17"/>
  <c r="AI57" i="17"/>
  <c r="AK57" i="17"/>
  <c r="AA44" i="16"/>
  <c r="AE43" i="16"/>
  <c r="AA42" i="16"/>
  <c r="AA40" i="16"/>
  <c r="AE39" i="16"/>
  <c r="AK71" i="17"/>
  <c r="AG71" i="17"/>
  <c r="AA36" i="16"/>
  <c r="AE35" i="16"/>
  <c r="AK67" i="17"/>
  <c r="AG67" i="17"/>
  <c r="AE32" i="16"/>
  <c r="AG72" i="17"/>
  <c r="AI72" i="17"/>
  <c r="AK72" i="17"/>
  <c r="Y29" i="16"/>
  <c r="AE28" i="16"/>
  <c r="Y26" i="16"/>
  <c r="AG37" i="17"/>
  <c r="AH79" i="17" s="1"/>
  <c r="AH69" i="17" s="1"/>
  <c r="AA37" i="17"/>
  <c r="AI37" i="17"/>
  <c r="AC37" i="17"/>
  <c r="AK37" i="17"/>
  <c r="Y25" i="16"/>
  <c r="AA24" i="16"/>
  <c r="W63" i="16"/>
  <c r="AC23" i="16"/>
  <c r="AG32" i="17"/>
  <c r="AA32" i="17"/>
  <c r="AI32" i="17"/>
  <c r="AC32" i="17"/>
  <c r="AK32" i="17"/>
  <c r="X79" i="17"/>
  <c r="X52" i="17" s="1"/>
  <c r="AI53" i="17"/>
  <c r="AI62" i="17"/>
  <c r="AI67" i="17"/>
  <c r="AI36" i="17"/>
  <c r="AA74" i="17"/>
  <c r="AE32" i="17"/>
  <c r="AE31" i="17"/>
  <c r="AK31" i="17"/>
  <c r="BK49" i="13"/>
  <c r="BL49" i="13" s="1"/>
  <c r="Q49" i="13" s="1"/>
  <c r="BK38" i="13"/>
  <c r="BL38" i="13" s="1"/>
  <c r="Q38" i="13" s="1"/>
  <c r="BK50" i="13"/>
  <c r="BL50" i="13" s="1"/>
  <c r="Q50" i="13" s="1"/>
  <c r="BK47" i="13"/>
  <c r="BL47" i="13" s="1"/>
  <c r="Q47" i="13" s="1"/>
  <c r="BK39" i="13"/>
  <c r="BL39" i="13" s="1"/>
  <c r="Q39" i="13" s="1"/>
  <c r="BK41" i="13"/>
  <c r="BL41" i="13" s="1"/>
  <c r="Q41" i="13" s="1"/>
  <c r="BK36" i="13"/>
  <c r="BL36" i="13" s="1"/>
  <c r="Q36" i="13" s="1"/>
  <c r="BK35" i="13"/>
  <c r="BL35" i="13" s="1"/>
  <c r="Q35" i="13" s="1"/>
  <c r="BK48" i="13"/>
  <c r="BL48" i="13" s="1"/>
  <c r="Q48" i="13" s="1"/>
  <c r="BK44" i="13"/>
  <c r="BL44" i="13" s="1"/>
  <c r="Q44" i="13" s="1"/>
  <c r="BK42" i="13"/>
  <c r="BL42" i="13" s="1"/>
  <c r="Q42" i="13" s="1"/>
  <c r="BK27" i="13"/>
  <c r="BL27" i="13" s="1"/>
  <c r="Q27" i="13" s="1"/>
  <c r="BK53" i="13"/>
  <c r="BL53" i="13" s="1"/>
  <c r="Q53" i="13" s="1"/>
  <c r="BK34" i="13"/>
  <c r="BL34" i="13" s="1"/>
  <c r="Q34" i="13" s="1"/>
  <c r="BK43" i="13"/>
  <c r="BL43" i="13" s="1"/>
  <c r="Q43" i="13" s="1"/>
  <c r="BK29" i="13"/>
  <c r="BL29" i="13" s="1"/>
  <c r="Q29" i="13" s="1"/>
  <c r="BK45" i="13"/>
  <c r="BL45" i="13" s="1"/>
  <c r="Q45" i="13" s="1"/>
  <c r="BK40" i="13"/>
  <c r="BL40" i="13" s="1"/>
  <c r="Q40" i="13" s="1"/>
  <c r="BK32" i="13"/>
  <c r="BL32" i="13" s="1"/>
  <c r="Q32" i="13" s="1"/>
  <c r="BK31" i="13"/>
  <c r="BL31" i="13" s="1"/>
  <c r="Q31" i="13" s="1"/>
  <c r="BK33" i="13"/>
  <c r="BL33" i="13" s="1"/>
  <c r="Q33" i="13" s="1"/>
  <c r="BK28" i="13"/>
  <c r="BL28" i="13" s="1"/>
  <c r="Q28" i="13" s="1"/>
  <c r="BK30" i="13"/>
  <c r="BL30" i="13" s="1"/>
  <c r="Q30" i="13" s="1"/>
  <c r="BK46" i="13"/>
  <c r="BL46" i="13" s="1"/>
  <c r="Q46" i="13" s="1"/>
  <c r="BK52" i="13"/>
  <c r="BL52" i="13" s="1"/>
  <c r="Q52" i="13" s="1"/>
  <c r="BK51" i="13"/>
  <c r="BL51" i="13" s="1"/>
  <c r="Q51" i="13" s="1"/>
  <c r="L80" i="17"/>
  <c r="L62" i="17"/>
  <c r="L52" i="17"/>
  <c r="L53" i="17"/>
  <c r="L48" i="17"/>
  <c r="L66" i="17"/>
  <c r="AM52" i="17"/>
  <c r="AM51" i="17"/>
  <c r="AM49" i="17"/>
  <c r="AI78" i="17"/>
  <c r="H80" i="17"/>
  <c r="P65" i="17"/>
  <c r="J57" i="17"/>
  <c r="H53" i="17"/>
  <c r="N52" i="17"/>
  <c r="R65" i="17"/>
  <c r="T59" i="17"/>
  <c r="R52" i="17"/>
  <c r="R59" i="17"/>
  <c r="L47" i="17"/>
  <c r="X62" i="17"/>
  <c r="N80" i="17"/>
  <c r="X49" i="17"/>
  <c r="Z51" i="17"/>
  <c r="T48" i="17"/>
  <c r="X53" i="17"/>
  <c r="L49" i="17"/>
  <c r="R48" i="17"/>
  <c r="J62" i="17"/>
  <c r="J80" i="17"/>
  <c r="N53" i="17"/>
  <c r="P48" i="17"/>
  <c r="X66" i="17"/>
  <c r="H64" i="17"/>
  <c r="H62" i="17"/>
  <c r="J47" i="17"/>
  <c r="AK76" i="17"/>
  <c r="H45" i="17"/>
  <c r="J53" i="17"/>
  <c r="H47" i="17"/>
  <c r="P41" i="17"/>
  <c r="N41" i="17"/>
  <c r="P52" i="17"/>
  <c r="P57" i="17"/>
  <c r="D16" i="17"/>
  <c r="D20" i="17"/>
  <c r="D24" i="17"/>
  <c r="D19" i="17"/>
  <c r="D23" i="17"/>
  <c r="D27" i="17"/>
  <c r="D75" i="17"/>
  <c r="D18" i="17"/>
  <c r="D22" i="17"/>
  <c r="D26" i="17"/>
  <c r="D17" i="17"/>
  <c r="D21" i="17"/>
  <c r="D25" i="17"/>
  <c r="D29" i="17"/>
  <c r="D33" i="17"/>
  <c r="D35" i="17"/>
  <c r="D37" i="17"/>
  <c r="D56" i="17"/>
  <c r="D28" i="17"/>
  <c r="D32" i="17"/>
  <c r="D38" i="17"/>
  <c r="D30" i="17"/>
  <c r="D74" i="17"/>
  <c r="D39" i="17"/>
  <c r="D73" i="17"/>
  <c r="D67" i="17"/>
  <c r="D69" i="17"/>
  <c r="D71" i="17"/>
  <c r="D43" i="17"/>
  <c r="D45" i="17"/>
  <c r="D72" i="17"/>
  <c r="D34" i="17"/>
  <c r="D68" i="17"/>
  <c r="D59" i="17"/>
  <c r="D44" i="17"/>
  <c r="D54" i="17"/>
  <c r="D55" i="17"/>
  <c r="D58" i="17"/>
  <c r="D31" i="17"/>
  <c r="D40" i="17"/>
  <c r="D70" i="17"/>
  <c r="D62" i="17"/>
  <c r="D64" i="17"/>
  <c r="D66" i="17"/>
  <c r="D47" i="17"/>
  <c r="D57" i="17"/>
  <c r="AI77" i="17"/>
  <c r="D65" i="17"/>
  <c r="T63" i="17"/>
  <c r="D41" i="17"/>
  <c r="T51" i="17"/>
  <c r="X60" i="17"/>
  <c r="V43" i="17"/>
  <c r="X72" i="17"/>
  <c r="D36" i="17"/>
  <c r="H75" i="17"/>
  <c r="V67" i="17"/>
  <c r="T49" i="17"/>
  <c r="V80" i="17"/>
  <c r="N18" i="17"/>
  <c r="N22" i="17"/>
  <c r="N26" i="17"/>
  <c r="N30" i="17"/>
  <c r="N32" i="17"/>
  <c r="N34" i="17"/>
  <c r="N35" i="17"/>
  <c r="N37" i="17"/>
  <c r="N39" i="17"/>
  <c r="N72" i="17"/>
  <c r="N17" i="17"/>
  <c r="N21" i="17"/>
  <c r="N25" i="17"/>
  <c r="N29" i="17"/>
  <c r="N16" i="17"/>
  <c r="N20" i="17"/>
  <c r="N24" i="17"/>
  <c r="N28" i="17"/>
  <c r="N31" i="17"/>
  <c r="N33" i="17"/>
  <c r="N74" i="17"/>
  <c r="N36" i="17"/>
  <c r="N38" i="17"/>
  <c r="N40" i="17"/>
  <c r="N73" i="17"/>
  <c r="N67" i="17"/>
  <c r="N69" i="17"/>
  <c r="N71" i="17"/>
  <c r="N43" i="17"/>
  <c r="N45" i="17"/>
  <c r="N55" i="17"/>
  <c r="N57" i="17"/>
  <c r="N59" i="17"/>
  <c r="N23" i="17"/>
  <c r="N19" i="17"/>
  <c r="N27" i="17"/>
  <c r="N75" i="17"/>
  <c r="N62" i="17"/>
  <c r="N64" i="17"/>
  <c r="N66" i="17"/>
  <c r="N47" i="17"/>
  <c r="N49" i="17"/>
  <c r="N51" i="17"/>
  <c r="N68" i="17"/>
  <c r="N44" i="17"/>
  <c r="N60" i="17"/>
  <c r="N70" i="17"/>
  <c r="N56" i="17"/>
  <c r="N61" i="17"/>
  <c r="N63" i="17"/>
  <c r="N65" i="17"/>
  <c r="N46" i="17"/>
  <c r="N48" i="17"/>
  <c r="N50" i="17"/>
  <c r="D52" i="17"/>
  <c r="L51" i="17"/>
  <c r="L50" i="17"/>
  <c r="J49" i="17"/>
  <c r="D48" i="17"/>
  <c r="T46" i="17"/>
  <c r="J66" i="17"/>
  <c r="Z64" i="17"/>
  <c r="P63" i="17"/>
  <c r="H60" i="17"/>
  <c r="T58" i="17"/>
  <c r="X56" i="17"/>
  <c r="D42" i="17"/>
  <c r="T70" i="17"/>
  <c r="F24" i="17"/>
  <c r="F74" i="17"/>
  <c r="F19" i="17"/>
  <c r="F18" i="17"/>
  <c r="F32" i="17"/>
  <c r="F39" i="17"/>
  <c r="F70" i="17"/>
  <c r="F56" i="17"/>
  <c r="F17" i="17"/>
  <c r="F63" i="17"/>
  <c r="F50" i="17"/>
  <c r="F54" i="17"/>
  <c r="F64" i="17"/>
  <c r="F51" i="17"/>
  <c r="R19" i="17"/>
  <c r="R23" i="17"/>
  <c r="R27" i="17"/>
  <c r="R75" i="17"/>
  <c r="R18" i="17"/>
  <c r="R22" i="17"/>
  <c r="R26" i="17"/>
  <c r="R30" i="17"/>
  <c r="R32" i="17"/>
  <c r="R34" i="17"/>
  <c r="R35" i="17"/>
  <c r="R37" i="17"/>
  <c r="R39" i="17"/>
  <c r="R72" i="17"/>
  <c r="R17" i="17"/>
  <c r="R21" i="17"/>
  <c r="R25" i="17"/>
  <c r="R29" i="17"/>
  <c r="R16" i="17"/>
  <c r="R40" i="17"/>
  <c r="R33" i="17"/>
  <c r="R73" i="17"/>
  <c r="R67" i="17"/>
  <c r="R69" i="17"/>
  <c r="R71" i="17"/>
  <c r="R43" i="17"/>
  <c r="R45" i="17"/>
  <c r="R36" i="17"/>
  <c r="R55" i="17"/>
  <c r="R28" i="17"/>
  <c r="R24" i="17"/>
  <c r="R38" i="17"/>
  <c r="R41" i="17"/>
  <c r="R68" i="17"/>
  <c r="R70" i="17"/>
  <c r="R42" i="17"/>
  <c r="R44" i="17"/>
  <c r="R74" i="17"/>
  <c r="R57" i="17"/>
  <c r="R62" i="17"/>
  <c r="R64" i="17"/>
  <c r="R66" i="17"/>
  <c r="R47" i="17"/>
  <c r="R49" i="17"/>
  <c r="R51" i="17"/>
  <c r="R31" i="17"/>
  <c r="R60" i="17"/>
  <c r="R50" i="17"/>
  <c r="T80" i="17"/>
  <c r="D80" i="17"/>
  <c r="L18" i="17"/>
  <c r="L22" i="17"/>
  <c r="L17" i="17"/>
  <c r="L21" i="17"/>
  <c r="L25" i="17"/>
  <c r="L29" i="17"/>
  <c r="L16" i="17"/>
  <c r="L20" i="17"/>
  <c r="L24" i="17"/>
  <c r="L19" i="17"/>
  <c r="L23" i="17"/>
  <c r="L27" i="17"/>
  <c r="L75" i="17"/>
  <c r="L55" i="17"/>
  <c r="L57" i="17"/>
  <c r="L33" i="17"/>
  <c r="L36" i="17"/>
  <c r="L72" i="17"/>
  <c r="L35" i="17"/>
  <c r="L28" i="17"/>
  <c r="L37" i="17"/>
  <c r="L41" i="17"/>
  <c r="L68" i="17"/>
  <c r="L70" i="17"/>
  <c r="L42" i="17"/>
  <c r="L44" i="17"/>
  <c r="L32" i="17"/>
  <c r="L74" i="17"/>
  <c r="L38" i="17"/>
  <c r="L26" i="17"/>
  <c r="L31" i="17"/>
  <c r="L39" i="17"/>
  <c r="L45" i="17"/>
  <c r="L34" i="17"/>
  <c r="L73" i="17"/>
  <c r="L60" i="17"/>
  <c r="L71" i="17"/>
  <c r="L56" i="17"/>
  <c r="L59" i="17"/>
  <c r="L61" i="17"/>
  <c r="L63" i="17"/>
  <c r="L65" i="17"/>
  <c r="L46" i="17"/>
  <c r="L30" i="17"/>
  <c r="L40" i="17"/>
  <c r="L67" i="17"/>
  <c r="L58" i="17"/>
  <c r="T53" i="17"/>
  <c r="D53" i="17"/>
  <c r="D50" i="17"/>
  <c r="H49" i="17"/>
  <c r="R46" i="17"/>
  <c r="H66" i="17"/>
  <c r="X64" i="17"/>
  <c r="D63" i="17"/>
  <c r="T61" i="17"/>
  <c r="D60" i="17"/>
  <c r="R58" i="17"/>
  <c r="R56" i="17"/>
  <c r="P70" i="17"/>
  <c r="L69" i="17"/>
  <c r="V16" i="17"/>
  <c r="V20" i="17"/>
  <c r="V24" i="17"/>
  <c r="V28" i="17"/>
  <c r="V31" i="17"/>
  <c r="V33" i="17"/>
  <c r="V74" i="17"/>
  <c r="V36" i="17"/>
  <c r="V38" i="17"/>
  <c r="V40" i="17"/>
  <c r="V19" i="17"/>
  <c r="V23" i="17"/>
  <c r="V27" i="17"/>
  <c r="V75" i="17"/>
  <c r="V18" i="17"/>
  <c r="V22" i="17"/>
  <c r="V26" i="17"/>
  <c r="V30" i="17"/>
  <c r="V32" i="17"/>
  <c r="V34" i="17"/>
  <c r="V35" i="17"/>
  <c r="V37" i="17"/>
  <c r="V39" i="17"/>
  <c r="V72" i="17"/>
  <c r="V41" i="17"/>
  <c r="V68" i="17"/>
  <c r="V70" i="17"/>
  <c r="V42" i="17"/>
  <c r="V44" i="17"/>
  <c r="V56" i="17"/>
  <c r="V58" i="17"/>
  <c r="V60" i="17"/>
  <c r="V25" i="17"/>
  <c r="V21" i="17"/>
  <c r="V17" i="17"/>
  <c r="V29" i="17"/>
  <c r="V69" i="17"/>
  <c r="V61" i="17"/>
  <c r="V63" i="17"/>
  <c r="V65" i="17"/>
  <c r="V46" i="17"/>
  <c r="V48" i="17"/>
  <c r="V50" i="17"/>
  <c r="V52" i="17"/>
  <c r="V45" i="17"/>
  <c r="V73" i="17"/>
  <c r="V57" i="17"/>
  <c r="V71" i="17"/>
  <c r="V62" i="17"/>
  <c r="V64" i="17"/>
  <c r="V66" i="17"/>
  <c r="V47" i="17"/>
  <c r="V49" i="17"/>
  <c r="V51" i="17"/>
  <c r="AJ79" i="17"/>
  <c r="AJ55" i="17" s="1"/>
  <c r="P50" i="17"/>
  <c r="R63" i="17"/>
  <c r="R80" i="17"/>
  <c r="Z17" i="17"/>
  <c r="Z16" i="17"/>
  <c r="Z31" i="17"/>
  <c r="Z38" i="17"/>
  <c r="Z27" i="17"/>
  <c r="Z39" i="17"/>
  <c r="Z42" i="17"/>
  <c r="Z32" i="17"/>
  <c r="Z71" i="17"/>
  <c r="Z22" i="17"/>
  <c r="Z61" i="17"/>
  <c r="Z48" i="17"/>
  <c r="J17" i="17"/>
  <c r="J21" i="17"/>
  <c r="J25" i="17"/>
  <c r="J29" i="17"/>
  <c r="J16" i="17"/>
  <c r="J20" i="17"/>
  <c r="J24" i="17"/>
  <c r="J28" i="17"/>
  <c r="J31" i="17"/>
  <c r="J33" i="17"/>
  <c r="J74" i="17"/>
  <c r="J36" i="17"/>
  <c r="J38" i="17"/>
  <c r="J40" i="17"/>
  <c r="J19" i="17"/>
  <c r="J23" i="17"/>
  <c r="J27" i="17"/>
  <c r="J75" i="17"/>
  <c r="J72" i="17"/>
  <c r="J35" i="17"/>
  <c r="J37" i="17"/>
  <c r="J41" i="17"/>
  <c r="J68" i="17"/>
  <c r="J70" i="17"/>
  <c r="J42" i="17"/>
  <c r="J44" i="17"/>
  <c r="J32" i="17"/>
  <c r="J56" i="17"/>
  <c r="J30" i="17"/>
  <c r="J22" i="17"/>
  <c r="J34" i="17"/>
  <c r="J73" i="17"/>
  <c r="J67" i="17"/>
  <c r="J69" i="17"/>
  <c r="J71" i="17"/>
  <c r="J43" i="17"/>
  <c r="J45" i="17"/>
  <c r="J26" i="17"/>
  <c r="J60" i="17"/>
  <c r="J39" i="17"/>
  <c r="J59" i="17"/>
  <c r="J61" i="17"/>
  <c r="J63" i="17"/>
  <c r="J65" i="17"/>
  <c r="J46" i="17"/>
  <c r="J48" i="17"/>
  <c r="J50" i="17"/>
  <c r="J52" i="17"/>
  <c r="J18" i="17"/>
  <c r="J55" i="17"/>
  <c r="J58" i="17"/>
  <c r="R53" i="17"/>
  <c r="H51" i="17"/>
  <c r="D49" i="17"/>
  <c r="L64" i="17"/>
  <c r="R61" i="17"/>
  <c r="N58" i="17"/>
  <c r="V55" i="17"/>
  <c r="T16" i="17"/>
  <c r="T20" i="17"/>
  <c r="T24" i="17"/>
  <c r="T19" i="17"/>
  <c r="T23" i="17"/>
  <c r="T27" i="17"/>
  <c r="T75" i="17"/>
  <c r="T18" i="17"/>
  <c r="T22" i="17"/>
  <c r="T26" i="17"/>
  <c r="T17" i="17"/>
  <c r="T21" i="17"/>
  <c r="T25" i="17"/>
  <c r="T29" i="17"/>
  <c r="T31" i="17"/>
  <c r="T34" i="17"/>
  <c r="T39" i="17"/>
  <c r="T56" i="17"/>
  <c r="T40" i="17"/>
  <c r="T33" i="17"/>
  <c r="T35" i="17"/>
  <c r="T72" i="17"/>
  <c r="T73" i="17"/>
  <c r="T67" i="17"/>
  <c r="T69" i="17"/>
  <c r="T71" i="17"/>
  <c r="T43" i="17"/>
  <c r="T45" i="17"/>
  <c r="T36" i="17"/>
  <c r="T30" i="17"/>
  <c r="T74" i="17"/>
  <c r="T41" i="17"/>
  <c r="T37" i="17"/>
  <c r="T42" i="17"/>
  <c r="T57" i="17"/>
  <c r="T32" i="17"/>
  <c r="T38" i="17"/>
  <c r="T68" i="17"/>
  <c r="T62" i="17"/>
  <c r="T64" i="17"/>
  <c r="T66" i="17"/>
  <c r="T47" i="17"/>
  <c r="T44" i="17"/>
  <c r="T55" i="17"/>
  <c r="T60" i="17"/>
  <c r="T50" i="17"/>
  <c r="P19" i="17"/>
  <c r="P23" i="17"/>
  <c r="P18" i="17"/>
  <c r="P22" i="17"/>
  <c r="P26" i="17"/>
  <c r="P30" i="17"/>
  <c r="P32" i="17"/>
  <c r="P34" i="17"/>
  <c r="P35" i="17"/>
  <c r="P17" i="17"/>
  <c r="P21" i="17"/>
  <c r="P25" i="17"/>
  <c r="P16" i="17"/>
  <c r="P20" i="17"/>
  <c r="P24" i="17"/>
  <c r="P28" i="17"/>
  <c r="P31" i="17"/>
  <c r="P33" i="17"/>
  <c r="P74" i="17"/>
  <c r="P40" i="17"/>
  <c r="P73" i="17"/>
  <c r="P67" i="17"/>
  <c r="P69" i="17"/>
  <c r="P71" i="17"/>
  <c r="P43" i="17"/>
  <c r="P45" i="17"/>
  <c r="P36" i="17"/>
  <c r="P72" i="17"/>
  <c r="P55" i="17"/>
  <c r="P37" i="17"/>
  <c r="P56" i="17"/>
  <c r="P58" i="17"/>
  <c r="P60" i="17"/>
  <c r="P75" i="17"/>
  <c r="P42" i="17"/>
  <c r="P29" i="17"/>
  <c r="P62" i="17"/>
  <c r="P64" i="17"/>
  <c r="P66" i="17"/>
  <c r="P47" i="17"/>
  <c r="P49" i="17"/>
  <c r="P51" i="17"/>
  <c r="P38" i="17"/>
  <c r="P68" i="17"/>
  <c r="P27" i="17"/>
  <c r="P39" i="17"/>
  <c r="P44" i="17"/>
  <c r="P59" i="17"/>
  <c r="P80" i="17"/>
  <c r="X17" i="17"/>
  <c r="X21" i="17"/>
  <c r="X25" i="17"/>
  <c r="X16" i="17"/>
  <c r="X20" i="17"/>
  <c r="X24" i="17"/>
  <c r="X28" i="17"/>
  <c r="X31" i="17"/>
  <c r="X33" i="17"/>
  <c r="X74" i="17"/>
  <c r="X19" i="17"/>
  <c r="X23" i="17"/>
  <c r="X27" i="17"/>
  <c r="X18" i="17"/>
  <c r="X22" i="17"/>
  <c r="X26" i="17"/>
  <c r="X30" i="17"/>
  <c r="X32" i="17"/>
  <c r="X34" i="17"/>
  <c r="X35" i="17"/>
  <c r="X75" i="17"/>
  <c r="X38" i="17"/>
  <c r="X39" i="17"/>
  <c r="X41" i="17"/>
  <c r="X68" i="17"/>
  <c r="X70" i="17"/>
  <c r="X42" i="17"/>
  <c r="X44" i="17"/>
  <c r="X40" i="17"/>
  <c r="X37" i="17"/>
  <c r="X55" i="17"/>
  <c r="X57" i="17"/>
  <c r="X59" i="17"/>
  <c r="X36" i="17"/>
  <c r="X58" i="17"/>
  <c r="X69" i="17"/>
  <c r="X61" i="17"/>
  <c r="X63" i="17"/>
  <c r="X65" i="17"/>
  <c r="X46" i="17"/>
  <c r="X48" i="17"/>
  <c r="X50" i="17"/>
  <c r="X29" i="17"/>
  <c r="X45" i="17"/>
  <c r="X73" i="17"/>
  <c r="X71" i="17"/>
  <c r="H17" i="17"/>
  <c r="H21" i="17"/>
  <c r="H25" i="17"/>
  <c r="H16" i="17"/>
  <c r="H20" i="17"/>
  <c r="H24" i="17"/>
  <c r="H28" i="17"/>
  <c r="H31" i="17"/>
  <c r="H33" i="17"/>
  <c r="H74" i="17"/>
  <c r="H19" i="17"/>
  <c r="H23" i="17"/>
  <c r="H27" i="17"/>
  <c r="H18" i="17"/>
  <c r="H22" i="17"/>
  <c r="H26" i="17"/>
  <c r="H30" i="17"/>
  <c r="H32" i="17"/>
  <c r="H34" i="17"/>
  <c r="H35" i="17"/>
  <c r="H36" i="17"/>
  <c r="H37" i="17"/>
  <c r="H41" i="17"/>
  <c r="H68" i="17"/>
  <c r="H70" i="17"/>
  <c r="H42" i="17"/>
  <c r="H44" i="17"/>
  <c r="H38" i="17"/>
  <c r="H29" i="17"/>
  <c r="H39" i="17"/>
  <c r="H40" i="17"/>
  <c r="H54" i="17"/>
  <c r="H55" i="17"/>
  <c r="H57" i="17"/>
  <c r="H59" i="17"/>
  <c r="H73" i="17"/>
  <c r="H71" i="17"/>
  <c r="H61" i="17"/>
  <c r="H63" i="17"/>
  <c r="H65" i="17"/>
  <c r="H46" i="17"/>
  <c r="H48" i="17"/>
  <c r="H50" i="17"/>
  <c r="H52" i="17"/>
  <c r="H56" i="17"/>
  <c r="H58" i="17"/>
  <c r="H67" i="17"/>
  <c r="H72" i="17"/>
  <c r="H43" i="17"/>
  <c r="P53" i="17"/>
  <c r="T52" i="17"/>
  <c r="D51" i="17"/>
  <c r="AM48" i="17"/>
  <c r="X47" i="17"/>
  <c r="D46" i="17"/>
  <c r="T65" i="17"/>
  <c r="J64" i="17"/>
  <c r="P61" i="17"/>
  <c r="V59" i="17"/>
  <c r="X67" i="17"/>
  <c r="AM32" i="17"/>
  <c r="AM31" i="17"/>
  <c r="AE55" i="16"/>
  <c r="Y48" i="16"/>
  <c r="AC52" i="16"/>
  <c r="AA51" i="16"/>
  <c r="Y50" i="16"/>
  <c r="AA47" i="16"/>
  <c r="AG46" i="16"/>
  <c r="AC44" i="16"/>
  <c r="AA43" i="16"/>
  <c r="AG42" i="16"/>
  <c r="AC40" i="16"/>
  <c r="AA39" i="16"/>
  <c r="AA65" i="16" s="1"/>
  <c r="AG38" i="16"/>
  <c r="Y38" i="16"/>
  <c r="AC36" i="16"/>
  <c r="AA35" i="16"/>
  <c r="AG34" i="16"/>
  <c r="Y34" i="16"/>
  <c r="AC32" i="16"/>
  <c r="AA31" i="16"/>
  <c r="AG30" i="16"/>
  <c r="Y30" i="16"/>
  <c r="AC28" i="16"/>
  <c r="AA27" i="16"/>
  <c r="AC24" i="16"/>
  <c r="AA23" i="16"/>
  <c r="AG22" i="16"/>
  <c r="Y22" i="16"/>
  <c r="AE21" i="16"/>
  <c r="AE65" i="16" s="1"/>
  <c r="AC20" i="16"/>
  <c r="Z63" i="16"/>
  <c r="X63" i="16"/>
  <c r="Y54" i="16"/>
  <c r="O63" i="16"/>
  <c r="AE51" i="16"/>
  <c r="AA55" i="16"/>
  <c r="G63" i="16"/>
  <c r="G65" i="16"/>
  <c r="AG55" i="16"/>
  <c r="Y55" i="16"/>
  <c r="AE54" i="16"/>
  <c r="AC53" i="16"/>
  <c r="AG51" i="16"/>
  <c r="Y51" i="16"/>
  <c r="AE50" i="16"/>
  <c r="AC49" i="16"/>
  <c r="AG47" i="16"/>
  <c r="Y47" i="16"/>
  <c r="AE46" i="16"/>
  <c r="AC45" i="16"/>
  <c r="AG43" i="16"/>
  <c r="Y43" i="16"/>
  <c r="AE42" i="16"/>
  <c r="AC41" i="16"/>
  <c r="AG39" i="16"/>
  <c r="Y39" i="16"/>
  <c r="AE38" i="16"/>
  <c r="AC37" i="16"/>
  <c r="AG35" i="16"/>
  <c r="Y35" i="16"/>
  <c r="AE34" i="16"/>
  <c r="AC33" i="16"/>
  <c r="AG31" i="16"/>
  <c r="Y31" i="16"/>
  <c r="AE30" i="16"/>
  <c r="AC29" i="16"/>
  <c r="AG27" i="16"/>
  <c r="Y27" i="16"/>
  <c r="AE26" i="16"/>
  <c r="AC25" i="16"/>
  <c r="AG23" i="16"/>
  <c r="Y23" i="16"/>
  <c r="AE22" i="16"/>
  <c r="AC21" i="16"/>
  <c r="AA20" i="16"/>
  <c r="Y19" i="16"/>
  <c r="AE19" i="16"/>
  <c r="AG24" i="16"/>
  <c r="AE23" i="16"/>
  <c r="Y24" i="16"/>
  <c r="AG53" i="16"/>
  <c r="AG49" i="16"/>
  <c r="AG45" i="16"/>
  <c r="AG41" i="16"/>
  <c r="AG37" i="16"/>
  <c r="AG33" i="16"/>
  <c r="AG29" i="16"/>
  <c r="AG25" i="16"/>
  <c r="AG21" i="16"/>
  <c r="AI32" i="16" l="1"/>
  <c r="AM34" i="17"/>
  <c r="AM37" i="17"/>
  <c r="AK77" i="17"/>
  <c r="Z57" i="17"/>
  <c r="Z46" i="17"/>
  <c r="Z37" i="17"/>
  <c r="Z59" i="17"/>
  <c r="Z69" i="17"/>
  <c r="Z35" i="17"/>
  <c r="Z70" i="17"/>
  <c r="Z34" i="17"/>
  <c r="Z23" i="17"/>
  <c r="Z36" i="17"/>
  <c r="Z28" i="17"/>
  <c r="Z29" i="17"/>
  <c r="F49" i="17"/>
  <c r="F62" i="17"/>
  <c r="F67" i="17"/>
  <c r="F48" i="17"/>
  <c r="F61" i="17"/>
  <c r="F21" i="17"/>
  <c r="F25" i="17"/>
  <c r="F68" i="17"/>
  <c r="F37" i="17"/>
  <c r="F30" i="17"/>
  <c r="F75" i="17"/>
  <c r="F40" i="17"/>
  <c r="F33" i="17"/>
  <c r="F20" i="17"/>
  <c r="F76" i="17" s="1"/>
  <c r="F45" i="17"/>
  <c r="Z80" i="17"/>
  <c r="Z66" i="17"/>
  <c r="X51" i="17"/>
  <c r="X43" i="17"/>
  <c r="Z53" i="17"/>
  <c r="X80" i="17"/>
  <c r="Z62" i="17"/>
  <c r="Z47" i="17"/>
  <c r="Z52" i="17"/>
  <c r="Z65" i="17"/>
  <c r="Z58" i="17"/>
  <c r="Z45" i="17"/>
  <c r="Z67" i="17"/>
  <c r="Z56" i="17"/>
  <c r="Z68" i="17"/>
  <c r="Z18" i="17"/>
  <c r="Z19" i="17"/>
  <c r="Z74" i="17"/>
  <c r="Z24" i="17"/>
  <c r="Z25" i="17"/>
  <c r="Z77" i="17" s="1"/>
  <c r="Z55" i="17"/>
  <c r="F47" i="17"/>
  <c r="F43" i="17"/>
  <c r="F59" i="17"/>
  <c r="F46" i="17"/>
  <c r="F71" i="17"/>
  <c r="F60" i="17"/>
  <c r="F44" i="17"/>
  <c r="F41" i="17"/>
  <c r="F35" i="17"/>
  <c r="F26" i="17"/>
  <c r="F27" i="17"/>
  <c r="F38" i="17"/>
  <c r="F31" i="17"/>
  <c r="F16" i="17"/>
  <c r="AG76" i="17"/>
  <c r="Z72" i="17"/>
  <c r="Z60" i="17"/>
  <c r="Z49" i="17"/>
  <c r="AL79" i="17"/>
  <c r="AL63" i="17" s="1"/>
  <c r="AK78" i="17"/>
  <c r="AC64" i="16"/>
  <c r="AI23" i="16"/>
  <c r="F69" i="17"/>
  <c r="AG77" i="17"/>
  <c r="Z50" i="17"/>
  <c r="Z63" i="17"/>
  <c r="Z26" i="17"/>
  <c r="Z43" i="17"/>
  <c r="Z73" i="17"/>
  <c r="Z44" i="17"/>
  <c r="Z41" i="17"/>
  <c r="Z75" i="17"/>
  <c r="Z40" i="17"/>
  <c r="Z78" i="17" s="1"/>
  <c r="Z33" i="17"/>
  <c r="Z20" i="17"/>
  <c r="Z21" i="17"/>
  <c r="F66" i="17"/>
  <c r="F55" i="17"/>
  <c r="F52" i="17"/>
  <c r="F65" i="17"/>
  <c r="F29" i="17"/>
  <c r="F58" i="17"/>
  <c r="F42" i="17"/>
  <c r="F72" i="17"/>
  <c r="F34" i="17"/>
  <c r="F22" i="17"/>
  <c r="F23" i="17"/>
  <c r="F36" i="17"/>
  <c r="F28" i="17"/>
  <c r="F80" i="17"/>
  <c r="F57" i="17"/>
  <c r="F73" i="17"/>
  <c r="BK55" i="13"/>
  <c r="AH67" i="17"/>
  <c r="AH31" i="17"/>
  <c r="AH50" i="17"/>
  <c r="AH74" i="17"/>
  <c r="AH33" i="17"/>
  <c r="AH40" i="17"/>
  <c r="AJ69" i="17"/>
  <c r="AJ39" i="17"/>
  <c r="AJ40" i="17"/>
  <c r="AJ50" i="17"/>
  <c r="AJ73" i="17"/>
  <c r="AJ57" i="17"/>
  <c r="AJ33" i="17"/>
  <c r="AJ38" i="17"/>
  <c r="AJ64" i="17"/>
  <c r="AH43" i="17"/>
  <c r="AH58" i="17"/>
  <c r="AH46" i="17"/>
  <c r="AH73" i="17"/>
  <c r="AH48" i="17"/>
  <c r="AH36" i="17"/>
  <c r="AH71" i="17"/>
  <c r="X78" i="17"/>
  <c r="H77" i="17"/>
  <c r="R77" i="17"/>
  <c r="P78" i="17"/>
  <c r="T78" i="17"/>
  <c r="AJ49" i="17"/>
  <c r="AH38" i="17"/>
  <c r="D78" i="17"/>
  <c r="P77" i="17"/>
  <c r="J76" i="17"/>
  <c r="Z76" i="17"/>
  <c r="V77" i="17"/>
  <c r="V76" i="17"/>
  <c r="AH19" i="17"/>
  <c r="AH23" i="17"/>
  <c r="AH27" i="17"/>
  <c r="AH75" i="17"/>
  <c r="AH18" i="17"/>
  <c r="AH22" i="17"/>
  <c r="AH26" i="17"/>
  <c r="AH30" i="17"/>
  <c r="AH17" i="17"/>
  <c r="AH21" i="17"/>
  <c r="AH25" i="17"/>
  <c r="AH29" i="17"/>
  <c r="AH20" i="17"/>
  <c r="AH16" i="17"/>
  <c r="AH35" i="17"/>
  <c r="AH72" i="17"/>
  <c r="AH41" i="17"/>
  <c r="AH68" i="17"/>
  <c r="AH70" i="17"/>
  <c r="AH42" i="17"/>
  <c r="AH44" i="17"/>
  <c r="AH32" i="17"/>
  <c r="AH37" i="17"/>
  <c r="AH34" i="17"/>
  <c r="AH39" i="17"/>
  <c r="AH57" i="17"/>
  <c r="AH61" i="17"/>
  <c r="AH63" i="17"/>
  <c r="AH65" i="17"/>
  <c r="AH55" i="17"/>
  <c r="AH54" i="17"/>
  <c r="AH56" i="17"/>
  <c r="AH47" i="17"/>
  <c r="AH24" i="17"/>
  <c r="AH80" i="17"/>
  <c r="AH51" i="17"/>
  <c r="AH59" i="17"/>
  <c r="AH60" i="17"/>
  <c r="AH49" i="17"/>
  <c r="AH62" i="17"/>
  <c r="AH45" i="17"/>
  <c r="AH66" i="17"/>
  <c r="AH28" i="17"/>
  <c r="AH53" i="17"/>
  <c r="AJ34" i="17"/>
  <c r="AJ66" i="17"/>
  <c r="AJ51" i="17"/>
  <c r="D76" i="17"/>
  <c r="L77" i="17"/>
  <c r="H78" i="17"/>
  <c r="T77" i="17"/>
  <c r="N76" i="17"/>
  <c r="AJ16" i="17"/>
  <c r="AJ20" i="17"/>
  <c r="AJ24" i="17"/>
  <c r="AJ19" i="17"/>
  <c r="AJ23" i="17"/>
  <c r="AJ27" i="17"/>
  <c r="AJ75" i="17"/>
  <c r="AJ18" i="17"/>
  <c r="AJ22" i="17"/>
  <c r="AJ26" i="17"/>
  <c r="AJ17" i="17"/>
  <c r="AJ21" i="17"/>
  <c r="AJ25" i="17"/>
  <c r="AJ29" i="17"/>
  <c r="AJ28" i="17"/>
  <c r="AJ30" i="17"/>
  <c r="AJ45" i="17"/>
  <c r="AJ54" i="17"/>
  <c r="AJ42" i="17"/>
  <c r="AJ68" i="17"/>
  <c r="AJ58" i="17"/>
  <c r="AJ44" i="17"/>
  <c r="AJ72" i="17"/>
  <c r="AJ61" i="17"/>
  <c r="AJ63" i="17"/>
  <c r="AJ65" i="17"/>
  <c r="AJ70" i="17"/>
  <c r="AJ80" i="17"/>
  <c r="AJ53" i="17"/>
  <c r="AJ56" i="17"/>
  <c r="AJ52" i="17"/>
  <c r="AJ41" i="17"/>
  <c r="AH64" i="17"/>
  <c r="AH52" i="17"/>
  <c r="AJ32" i="17"/>
  <c r="AJ31" i="17"/>
  <c r="AJ46" i="17"/>
  <c r="J78" i="17"/>
  <c r="V78" i="17"/>
  <c r="R78" i="17"/>
  <c r="N77" i="17"/>
  <c r="P76" i="17"/>
  <c r="AJ59" i="17"/>
  <c r="AJ71" i="17"/>
  <c r="AJ37" i="17"/>
  <c r="X76" i="17"/>
  <c r="L78" i="17"/>
  <c r="N78" i="17"/>
  <c r="AJ47" i="17"/>
  <c r="D77" i="17"/>
  <c r="J77" i="17"/>
  <c r="AJ35" i="17"/>
  <c r="AJ36" i="17"/>
  <c r="X77" i="17"/>
  <c r="T76" i="17"/>
  <c r="L76" i="17"/>
  <c r="R76" i="17"/>
  <c r="AJ60" i="17"/>
  <c r="AJ74" i="17"/>
  <c r="AJ67" i="17"/>
  <c r="H76" i="17"/>
  <c r="AJ62" i="17"/>
  <c r="AJ43" i="17"/>
  <c r="AJ48" i="17"/>
  <c r="AI33" i="16"/>
  <c r="AI51" i="16"/>
  <c r="AI25" i="16"/>
  <c r="AI47" i="16"/>
  <c r="AI37" i="16"/>
  <c r="AI39" i="16"/>
  <c r="AI31" i="16"/>
  <c r="AI53" i="16"/>
  <c r="AI45" i="16"/>
  <c r="AI22" i="16"/>
  <c r="AI30" i="16"/>
  <c r="AI38" i="16"/>
  <c r="AI46" i="16"/>
  <c r="AI54" i="16"/>
  <c r="AI55" i="16"/>
  <c r="AI49" i="16"/>
  <c r="AI43" i="16"/>
  <c r="AI24" i="16"/>
  <c r="AI41" i="16"/>
  <c r="AI29" i="16"/>
  <c r="AI40" i="16"/>
  <c r="AI52" i="16"/>
  <c r="AI36" i="16"/>
  <c r="AI27" i="16"/>
  <c r="AC65" i="16"/>
  <c r="AI48" i="16"/>
  <c r="AI19" i="16"/>
  <c r="AE64" i="16"/>
  <c r="AI26" i="16"/>
  <c r="AI34" i="16"/>
  <c r="AI42" i="16"/>
  <c r="AI50" i="16"/>
  <c r="AI21" i="16"/>
  <c r="AI20" i="16"/>
  <c r="AI28" i="16"/>
  <c r="AI44" i="16"/>
  <c r="AI35" i="16"/>
  <c r="AA39" i="17" l="1"/>
  <c r="AC39" i="17"/>
  <c r="AE39" i="17"/>
  <c r="AE54" i="17"/>
  <c r="AA54" i="17"/>
  <c r="AC54" i="17"/>
  <c r="AA70" i="17"/>
  <c r="AC70" i="17"/>
  <c r="AE70" i="17"/>
  <c r="AC45" i="17"/>
  <c r="AE45" i="17"/>
  <c r="AA45" i="17"/>
  <c r="AA46" i="17"/>
  <c r="AC46" i="17"/>
  <c r="AE46" i="17"/>
  <c r="AA72" i="17"/>
  <c r="AC72" i="17"/>
  <c r="AE72" i="17"/>
  <c r="AC73" i="17"/>
  <c r="AE73" i="17"/>
  <c r="AA73" i="17"/>
  <c r="AL71" i="17"/>
  <c r="AL24" i="17"/>
  <c r="AL74" i="17"/>
  <c r="AL66" i="17"/>
  <c r="AL39" i="17"/>
  <c r="AC60" i="17"/>
  <c r="AE60" i="17"/>
  <c r="AA60" i="17"/>
  <c r="AC64" i="17"/>
  <c r="AE64" i="17"/>
  <c r="AA64" i="17"/>
  <c r="AC66" i="17"/>
  <c r="AE66" i="17"/>
  <c r="AA66" i="17"/>
  <c r="AC43" i="17"/>
  <c r="AE43" i="17"/>
  <c r="AA43" i="17"/>
  <c r="AA63" i="17"/>
  <c r="AC63" i="17"/>
  <c r="AE63" i="17"/>
  <c r="F78" i="17"/>
  <c r="AL16" i="17"/>
  <c r="AL58" i="17"/>
  <c r="AL17" i="17"/>
  <c r="AL26" i="17"/>
  <c r="AL61" i="17"/>
  <c r="AL31" i="17"/>
  <c r="AL44" i="17"/>
  <c r="AL21" i="17"/>
  <c r="AL38" i="17"/>
  <c r="AL34" i="17"/>
  <c r="AL70" i="17"/>
  <c r="AL50" i="17"/>
  <c r="AL27" i="17"/>
  <c r="AL28" i="17"/>
  <c r="AL77" i="17" s="1"/>
  <c r="AL73" i="17"/>
  <c r="AL25" i="17"/>
  <c r="AA68" i="17"/>
  <c r="AC68" i="17"/>
  <c r="AE68" i="17"/>
  <c r="AC69" i="17"/>
  <c r="AE69" i="17"/>
  <c r="AA69" i="17"/>
  <c r="AA44" i="17"/>
  <c r="AC44" i="17"/>
  <c r="AE44" i="17"/>
  <c r="AA55" i="17"/>
  <c r="AC55" i="17"/>
  <c r="AE55" i="17"/>
  <c r="AC58" i="17"/>
  <c r="AE58" i="17"/>
  <c r="AA58" i="17"/>
  <c r="AA57" i="17"/>
  <c r="AC57" i="17"/>
  <c r="AE57" i="17"/>
  <c r="AC71" i="17"/>
  <c r="AE71" i="17"/>
  <c r="AA71" i="17"/>
  <c r="AC67" i="17"/>
  <c r="AE67" i="17"/>
  <c r="AA67" i="17"/>
  <c r="F77" i="17"/>
  <c r="AL51" i="17"/>
  <c r="AL18" i="17"/>
  <c r="AL20" i="17"/>
  <c r="AL36" i="17"/>
  <c r="AL43" i="17"/>
  <c r="AL33" i="17"/>
  <c r="AL40" i="17"/>
  <c r="AL52" i="17"/>
  <c r="AL62" i="17"/>
  <c r="AL32" i="17"/>
  <c r="AL53" i="17"/>
  <c r="AL30" i="17"/>
  <c r="AL72" i="17"/>
  <c r="AL64" i="17"/>
  <c r="AL59" i="17"/>
  <c r="AL42" i="17"/>
  <c r="AL80" i="17"/>
  <c r="AL54" i="17"/>
  <c r="AL41" i="17"/>
  <c r="AL19" i="17"/>
  <c r="AL76" i="17" s="1"/>
  <c r="AL29" i="17"/>
  <c r="AL46" i="17"/>
  <c r="AL37" i="17"/>
  <c r="AC56" i="17"/>
  <c r="AE56" i="17"/>
  <c r="AA56" i="17"/>
  <c r="AC62" i="17"/>
  <c r="AE62" i="17"/>
  <c r="AA62" i="17"/>
  <c r="AC40" i="17"/>
  <c r="AE40" i="17"/>
  <c r="AA40" i="17"/>
  <c r="AA61" i="17"/>
  <c r="AC61" i="17"/>
  <c r="AE61" i="17"/>
  <c r="AA42" i="17"/>
  <c r="AC42" i="17"/>
  <c r="AE42" i="17"/>
  <c r="AA65" i="17"/>
  <c r="AC65" i="17"/>
  <c r="AE65" i="17"/>
  <c r="AA59" i="17"/>
  <c r="AC59" i="17"/>
  <c r="AE59" i="17"/>
  <c r="AL49" i="17"/>
  <c r="AL69" i="17"/>
  <c r="AL22" i="17"/>
  <c r="AL65" i="17"/>
  <c r="AL56" i="17"/>
  <c r="AL48" i="17"/>
  <c r="AL60" i="17"/>
  <c r="AL23" i="17"/>
  <c r="AL68" i="17"/>
  <c r="AL35" i="17"/>
  <c r="AL47" i="17"/>
  <c r="AL75" i="17"/>
  <c r="AL67" i="17"/>
  <c r="AL55" i="17"/>
  <c r="AL45" i="17"/>
  <c r="AL57" i="17"/>
  <c r="AA41" i="17"/>
  <c r="AC41" i="17"/>
  <c r="AE41" i="17"/>
  <c r="AH78" i="17"/>
  <c r="AL78" i="17"/>
  <c r="AJ78" i="17"/>
  <c r="AH76" i="17"/>
  <c r="AJ77" i="17"/>
  <c r="AH77" i="17"/>
  <c r="AJ76" i="17"/>
  <c r="AI64" i="16"/>
  <c r="AI65" i="16"/>
  <c r="AM40" i="17" l="1"/>
  <c r="AA78" i="17"/>
  <c r="AM71" i="17"/>
  <c r="AM64" i="17"/>
  <c r="AF73" i="17"/>
  <c r="AM65" i="17"/>
  <c r="AE78" i="17"/>
  <c r="AM67" i="17"/>
  <c r="AM57" i="17"/>
  <c r="AM63" i="17"/>
  <c r="AM66" i="17"/>
  <c r="AF46" i="17"/>
  <c r="AM70" i="17"/>
  <c r="AE76" i="17"/>
  <c r="AF79" i="17"/>
  <c r="AF55" i="17" s="1"/>
  <c r="AE77" i="17"/>
  <c r="AM42" i="17"/>
  <c r="AM68" i="17"/>
  <c r="AM72" i="17"/>
  <c r="AM45" i="17"/>
  <c r="AF54" i="17"/>
  <c r="AM59" i="17"/>
  <c r="AB59" i="17"/>
  <c r="AF42" i="17"/>
  <c r="AC78" i="17"/>
  <c r="AM56" i="17"/>
  <c r="AM58" i="17"/>
  <c r="AM44" i="17"/>
  <c r="AM43" i="17"/>
  <c r="AB43" i="17"/>
  <c r="AF66" i="17"/>
  <c r="AC77" i="17"/>
  <c r="AD79" i="17"/>
  <c r="AC76" i="17"/>
  <c r="AF69" i="17"/>
  <c r="AM41" i="17"/>
  <c r="AF65" i="17"/>
  <c r="AM61" i="17"/>
  <c r="AM62" i="17"/>
  <c r="AF57" i="17"/>
  <c r="AF58" i="17"/>
  <c r="AM55" i="17"/>
  <c r="AM69" i="17"/>
  <c r="AF43" i="17"/>
  <c r="AM60" i="17"/>
  <c r="AM73" i="17"/>
  <c r="AB73" i="17"/>
  <c r="AM46" i="17"/>
  <c r="AB46" i="17"/>
  <c r="AF70" i="17"/>
  <c r="AM54" i="17"/>
  <c r="AM39" i="17"/>
  <c r="AA76" i="17"/>
  <c r="AB79" i="17"/>
  <c r="AB70" i="17" s="1"/>
  <c r="AA77" i="17"/>
  <c r="AB39" i="17"/>
  <c r="AD51" i="17" l="1"/>
  <c r="AD32" i="17"/>
  <c r="AD38" i="17"/>
  <c r="AD26" i="17"/>
  <c r="AD25" i="17"/>
  <c r="AD24" i="17"/>
  <c r="AD31" i="17"/>
  <c r="AD47" i="17"/>
  <c r="AD50" i="17"/>
  <c r="AD36" i="17"/>
  <c r="AD30" i="17"/>
  <c r="AD29" i="17"/>
  <c r="AD28" i="17"/>
  <c r="AD19" i="17"/>
  <c r="AD34" i="17"/>
  <c r="AD35" i="17"/>
  <c r="AD18" i="17"/>
  <c r="AD17" i="17"/>
  <c r="AD16" i="17"/>
  <c r="AD75" i="17"/>
  <c r="AD27" i="17"/>
  <c r="AD48" i="17"/>
  <c r="AD80" i="17"/>
  <c r="AD37" i="17"/>
  <c r="AD49" i="17"/>
  <c r="AD74" i="17"/>
  <c r="AD22" i="17"/>
  <c r="AD52" i="17"/>
  <c r="AD33" i="17"/>
  <c r="AD53" i="17"/>
  <c r="AD21" i="17"/>
  <c r="AD23" i="17"/>
  <c r="AD20" i="17"/>
  <c r="AD46" i="17"/>
  <c r="AD71" i="17"/>
  <c r="AN72" i="17"/>
  <c r="AD58" i="17"/>
  <c r="AB66" i="17"/>
  <c r="AD69" i="17"/>
  <c r="AD62" i="17"/>
  <c r="AB65" i="17"/>
  <c r="AD43" i="17"/>
  <c r="AP43" i="17" s="1"/>
  <c r="AB40" i="17"/>
  <c r="AB54" i="17"/>
  <c r="AB60" i="17"/>
  <c r="AF63" i="17"/>
  <c r="AB55" i="17"/>
  <c r="AD67" i="17"/>
  <c r="AB61" i="17"/>
  <c r="AB41" i="17"/>
  <c r="AF59" i="17"/>
  <c r="AF72" i="17"/>
  <c r="AN43" i="17"/>
  <c r="AD55" i="17"/>
  <c r="AF67" i="17"/>
  <c r="AB45" i="17"/>
  <c r="AP45" i="17" s="1"/>
  <c r="AD63" i="17"/>
  <c r="AD57" i="17"/>
  <c r="AD73" i="17"/>
  <c r="AN66" i="17"/>
  <c r="AD44" i="17"/>
  <c r="AF71" i="17"/>
  <c r="AF40" i="17"/>
  <c r="AN65" i="17"/>
  <c r="AF60" i="17"/>
  <c r="AF44" i="17"/>
  <c r="AP46" i="17"/>
  <c r="AD56" i="17"/>
  <c r="AD40" i="17"/>
  <c r="AD70" i="17"/>
  <c r="AB21" i="17"/>
  <c r="AB53" i="17"/>
  <c r="AB31" i="17"/>
  <c r="AP31" i="17" s="1"/>
  <c r="AB32" i="17"/>
  <c r="AB30" i="17"/>
  <c r="AB34" i="17"/>
  <c r="AB25" i="17"/>
  <c r="AB37" i="17"/>
  <c r="AB27" i="17"/>
  <c r="AB38" i="17"/>
  <c r="AB22" i="17"/>
  <c r="AB20" i="17"/>
  <c r="AB23" i="17"/>
  <c r="AB49" i="17"/>
  <c r="AB52" i="17"/>
  <c r="AB80" i="17"/>
  <c r="AB16" i="17"/>
  <c r="AB26" i="17"/>
  <c r="AB47" i="17"/>
  <c r="AB50" i="17"/>
  <c r="AB33" i="17"/>
  <c r="AB17" i="17"/>
  <c r="AB19" i="17"/>
  <c r="AB35" i="17"/>
  <c r="AB28" i="17"/>
  <c r="AB18" i="17"/>
  <c r="AB36" i="17"/>
  <c r="AP36" i="17" s="1"/>
  <c r="AB51" i="17"/>
  <c r="AB29" i="17"/>
  <c r="AB74" i="17"/>
  <c r="AB24" i="17"/>
  <c r="AB75" i="17"/>
  <c r="AB48" i="17"/>
  <c r="AD72" i="17"/>
  <c r="AD68" i="17"/>
  <c r="AF56" i="17"/>
  <c r="AD39" i="17"/>
  <c r="AP39" i="17" s="1"/>
  <c r="AD54" i="17"/>
  <c r="AD64" i="17"/>
  <c r="AF68" i="17"/>
  <c r="AB58" i="17"/>
  <c r="AB56" i="17"/>
  <c r="AD61" i="17"/>
  <c r="AD41" i="17"/>
  <c r="AB68" i="17"/>
  <c r="AF62" i="17"/>
  <c r="AF39" i="17"/>
  <c r="AD60" i="17"/>
  <c r="AB63" i="17"/>
  <c r="AB67" i="17"/>
  <c r="AD59" i="17"/>
  <c r="AB64" i="17"/>
  <c r="AB71" i="17"/>
  <c r="AM78" i="17"/>
  <c r="AM76" i="17"/>
  <c r="AM77" i="17"/>
  <c r="AN79" i="17"/>
  <c r="AN42" i="17" s="1"/>
  <c r="AN69" i="17"/>
  <c r="AD66" i="17"/>
  <c r="AB69" i="17"/>
  <c r="AB62" i="17"/>
  <c r="AD42" i="17"/>
  <c r="AD45" i="17"/>
  <c r="AB44" i="17"/>
  <c r="AP44" i="17" s="1"/>
  <c r="AN58" i="17"/>
  <c r="AN56" i="17"/>
  <c r="AB72" i="17"/>
  <c r="AB42" i="17"/>
  <c r="AP42" i="17" s="1"/>
  <c r="AF19" i="17"/>
  <c r="AF50" i="17"/>
  <c r="AF36" i="17"/>
  <c r="AF38" i="17"/>
  <c r="AF35" i="17"/>
  <c r="AF26" i="17"/>
  <c r="AF30" i="17"/>
  <c r="AF27" i="17"/>
  <c r="AF31" i="17"/>
  <c r="AF16" i="17"/>
  <c r="AF80" i="17"/>
  <c r="AF49" i="17"/>
  <c r="AF37" i="17"/>
  <c r="AF47" i="17"/>
  <c r="AF51" i="17"/>
  <c r="AF24" i="17"/>
  <c r="AF48" i="17"/>
  <c r="AF23" i="17"/>
  <c r="AF32" i="17"/>
  <c r="AF74" i="17"/>
  <c r="AF29" i="17"/>
  <c r="AF52" i="17"/>
  <c r="AF34" i="17"/>
  <c r="AF21" i="17"/>
  <c r="AF75" i="17"/>
  <c r="AF22" i="17"/>
  <c r="AF20" i="17"/>
  <c r="AF53" i="17"/>
  <c r="AF33" i="17"/>
  <c r="AF78" i="17" s="1"/>
  <c r="AF25" i="17"/>
  <c r="AF17" i="17"/>
  <c r="AF28" i="17"/>
  <c r="AF18" i="17"/>
  <c r="AF45" i="17"/>
  <c r="AF64" i="17"/>
  <c r="AN63" i="17"/>
  <c r="AB57" i="17"/>
  <c r="AF61" i="17"/>
  <c r="AF41" i="17"/>
  <c r="AN64" i="17"/>
  <c r="AD65" i="17"/>
  <c r="AN80" i="17"/>
  <c r="AO66" i="17"/>
  <c r="AO57" i="17"/>
  <c r="AO61" i="17"/>
  <c r="AO69" i="17"/>
  <c r="AO68" i="17"/>
  <c r="AO75" i="17"/>
  <c r="AO74" i="17"/>
  <c r="AO54" i="17"/>
  <c r="AO64" i="17"/>
  <c r="AO56" i="17"/>
  <c r="AO63" i="17"/>
  <c r="AO59" i="17"/>
  <c r="AO47" i="17"/>
  <c r="AO70" i="17"/>
  <c r="AO73" i="17"/>
  <c r="AO65" i="17"/>
  <c r="AO50" i="17"/>
  <c r="AO62" i="17"/>
  <c r="AO60" i="17"/>
  <c r="AO72" i="17"/>
  <c r="AO51" i="17"/>
  <c r="AO71" i="17"/>
  <c r="AO55" i="17"/>
  <c r="AO48" i="17"/>
  <c r="AO49" i="17"/>
  <c r="AO67" i="17"/>
  <c r="AO52" i="17"/>
  <c r="AO53" i="17"/>
  <c r="AO58" i="17"/>
  <c r="AP24" i="17" l="1"/>
  <c r="AB77" i="17"/>
  <c r="AP25" i="17"/>
  <c r="AN68" i="17"/>
  <c r="AN73" i="17"/>
  <c r="AN55" i="17"/>
  <c r="AN54" i="17"/>
  <c r="AP26" i="17"/>
  <c r="AP38" i="17"/>
  <c r="AP34" i="17"/>
  <c r="AN44" i="17"/>
  <c r="AN59" i="17"/>
  <c r="AN46" i="17"/>
  <c r="AD76" i="17"/>
  <c r="AN71" i="17"/>
  <c r="AN67" i="17"/>
  <c r="AF77" i="17"/>
  <c r="AF76" i="17"/>
  <c r="AN39" i="17"/>
  <c r="AN40" i="17"/>
  <c r="AN70" i="17"/>
  <c r="AN45" i="17"/>
  <c r="AP29" i="17"/>
  <c r="AP28" i="17"/>
  <c r="AP33" i="17"/>
  <c r="AB78" i="17"/>
  <c r="AB76" i="17"/>
  <c r="AP23" i="17"/>
  <c r="AP27" i="17"/>
  <c r="AP30" i="17"/>
  <c r="AN41" i="17"/>
  <c r="AN49" i="17"/>
  <c r="AN25" i="17"/>
  <c r="AN32" i="17"/>
  <c r="AN35" i="17"/>
  <c r="AN47" i="17"/>
  <c r="AN37" i="17"/>
  <c r="AN52" i="17"/>
  <c r="AN24" i="17"/>
  <c r="AN48" i="17"/>
  <c r="AN26" i="17"/>
  <c r="AN28" i="17"/>
  <c r="AN74" i="17"/>
  <c r="AN75" i="17"/>
  <c r="AN38" i="17"/>
  <c r="AN53" i="17"/>
  <c r="AN34" i="17"/>
  <c r="AN30" i="17"/>
  <c r="AN29" i="17"/>
  <c r="AN27" i="17"/>
  <c r="AN23" i="17"/>
  <c r="AN36" i="17"/>
  <c r="AN31" i="17"/>
  <c r="AN51" i="17"/>
  <c r="AN33" i="17"/>
  <c r="AN50" i="17"/>
  <c r="AN61" i="17"/>
  <c r="AN60" i="17"/>
  <c r="AP35" i="17"/>
  <c r="AP37" i="17"/>
  <c r="AP32" i="17"/>
  <c r="AN62" i="17"/>
  <c r="AP41" i="17"/>
  <c r="AP40" i="17"/>
  <c r="AN57" i="17"/>
  <c r="AD78" i="17"/>
  <c r="AD77" i="17"/>
  <c r="BY21" i="15"/>
  <c r="BY22" i="15"/>
  <c r="BY23" i="15"/>
  <c r="BY24" i="15"/>
  <c r="BY25" i="15"/>
  <c r="BY26" i="15"/>
  <c r="BY20" i="15"/>
  <c r="BW20" i="15"/>
  <c r="BW21" i="15"/>
  <c r="BW22" i="15"/>
  <c r="BW23" i="15"/>
  <c r="BW24" i="15"/>
  <c r="BW25" i="15"/>
  <c r="BW26" i="15"/>
  <c r="AO31" i="17" l="1"/>
  <c r="AO37" i="17"/>
  <c r="AN77" i="17"/>
  <c r="AO36" i="17"/>
  <c r="AO33" i="17"/>
  <c r="AN78" i="17"/>
  <c r="AO23" i="17"/>
  <c r="AN76" i="17"/>
  <c r="AO34" i="17"/>
  <c r="AO35" i="17"/>
  <c r="AO41" i="17"/>
  <c r="AO39" i="17"/>
  <c r="S44" i="15"/>
  <c r="W31" i="15"/>
  <c r="X31" i="15" s="1"/>
  <c r="AG29" i="15"/>
  <c r="AI29" i="15"/>
  <c r="AQ29" i="15"/>
  <c r="AQ28" i="15"/>
  <c r="AW30" i="15"/>
  <c r="AX30" i="15" s="1"/>
  <c r="AY28" i="15"/>
  <c r="BE30" i="15"/>
  <c r="BG29" i="15"/>
  <c r="BG28" i="15"/>
  <c r="BO28" i="15"/>
  <c r="BU29" i="15"/>
  <c r="BU30" i="15"/>
  <c r="BV30" i="15" s="1"/>
  <c r="Y28" i="15"/>
  <c r="AU29" i="15"/>
  <c r="W30" i="15"/>
  <c r="X30" i="15" s="1"/>
  <c r="BA31" i="15"/>
  <c r="U32" i="15"/>
  <c r="V32" i="15" s="1"/>
  <c r="BE27" i="15"/>
  <c r="AO42" i="17" l="1"/>
  <c r="AO43" i="17"/>
  <c r="AO45" i="17"/>
  <c r="AO46" i="17"/>
  <c r="AO26" i="17"/>
  <c r="AO32" i="17"/>
  <c r="AO81" i="17"/>
  <c r="AO40" i="17"/>
  <c r="AO38" i="17"/>
  <c r="AO28" i="17"/>
  <c r="AO44" i="17"/>
  <c r="AO24" i="17"/>
  <c r="AO76" i="17" s="1"/>
  <c r="AO30" i="17"/>
  <c r="AO25" i="17"/>
  <c r="AO29" i="17"/>
  <c r="AO27" i="17"/>
  <c r="AU31" i="15"/>
  <c r="BS31" i="15"/>
  <c r="BT31" i="15" s="1"/>
  <c r="BE29" i="15"/>
  <c r="AG30" i="15"/>
  <c r="AH30" i="15" s="1"/>
  <c r="BO29" i="15"/>
  <c r="BC31" i="15"/>
  <c r="AO29" i="15"/>
  <c r="AA28" i="15"/>
  <c r="AB28" i="15" s="1"/>
  <c r="AE31" i="15"/>
  <c r="AF31" i="15" s="1"/>
  <c r="BM29" i="15"/>
  <c r="AO30" i="15"/>
  <c r="AP30" i="15" s="1"/>
  <c r="AA29" i="15"/>
  <c r="AB29" i="15" s="1"/>
  <c r="BM30" i="15"/>
  <c r="BN30" i="15" s="1"/>
  <c r="AY29" i="15"/>
  <c r="AM31" i="15"/>
  <c r="AN31" i="15" s="1"/>
  <c r="Y29" i="15"/>
  <c r="Z29" i="15" s="1"/>
  <c r="BU31" i="15"/>
  <c r="BV31" i="15" s="1"/>
  <c r="BK31" i="15"/>
  <c r="BL31" i="15" s="1"/>
  <c r="AW29" i="15"/>
  <c r="AI28" i="15"/>
  <c r="AJ28" i="15" s="1"/>
  <c r="Y30" i="15"/>
  <c r="Z30" i="15" s="1"/>
  <c r="BS32" i="15"/>
  <c r="BT32" i="15" s="1"/>
  <c r="BC32" i="15"/>
  <c r="W32" i="15"/>
  <c r="X32" i="15" s="1"/>
  <c r="BQ27" i="15"/>
  <c r="AK27" i="15"/>
  <c r="AG31" i="15"/>
  <c r="AH31" i="15" s="1"/>
  <c r="BU28" i="15"/>
  <c r="BV28" i="15" s="1"/>
  <c r="BQ28" i="15"/>
  <c r="BO30" i="15"/>
  <c r="BP30" i="15" s="1"/>
  <c r="BM32" i="15"/>
  <c r="BN32" i="15" s="1"/>
  <c r="BI28" i="15"/>
  <c r="BJ28" i="15" s="1"/>
  <c r="BG30" i="15"/>
  <c r="BE32" i="15"/>
  <c r="BA28" i="15"/>
  <c r="AY30" i="15"/>
  <c r="AW32" i="15"/>
  <c r="AX32" i="15" s="1"/>
  <c r="AS28" i="15"/>
  <c r="AQ30" i="15"/>
  <c r="AR30" i="15" s="1"/>
  <c r="AO32" i="15"/>
  <c r="AP32" i="15" s="1"/>
  <c r="AK28" i="15"/>
  <c r="AI30" i="15"/>
  <c r="AJ30" i="15" s="1"/>
  <c r="AG32" i="15"/>
  <c r="AH32" i="15" s="1"/>
  <c r="AC28" i="15"/>
  <c r="AD28" i="15" s="1"/>
  <c r="AA30" i="15"/>
  <c r="AB30" i="15" s="1"/>
  <c r="Y32" i="15"/>
  <c r="Z32" i="15" s="1"/>
  <c r="U28" i="15"/>
  <c r="BO27" i="15"/>
  <c r="BP27" i="15" s="1"/>
  <c r="AQ27" i="15"/>
  <c r="AI27" i="15"/>
  <c r="BK32" i="15"/>
  <c r="BL32" i="15" s="1"/>
  <c r="AE32" i="15"/>
  <c r="AF32" i="15" s="1"/>
  <c r="BE31" i="15"/>
  <c r="Y31" i="15"/>
  <c r="Z31" i="15" s="1"/>
  <c r="BS27" i="15"/>
  <c r="BQ29" i="15"/>
  <c r="BR29" i="15" s="1"/>
  <c r="BO31" i="15"/>
  <c r="BP31" i="15" s="1"/>
  <c r="BK27" i="15"/>
  <c r="BI29" i="15"/>
  <c r="BG31" i="15"/>
  <c r="BC27" i="15"/>
  <c r="BA29" i="15"/>
  <c r="AY31" i="15"/>
  <c r="AU27" i="15"/>
  <c r="AS29" i="15"/>
  <c r="AQ31" i="15"/>
  <c r="AR31" i="15" s="1"/>
  <c r="AM27" i="15"/>
  <c r="AK29" i="15"/>
  <c r="AL29" i="15" s="1"/>
  <c r="AI31" i="15"/>
  <c r="AJ31" i="15" s="1"/>
  <c r="AE27" i="15"/>
  <c r="AC29" i="15"/>
  <c r="AA31" i="15"/>
  <c r="AB31" i="15" s="1"/>
  <c r="W27" i="15"/>
  <c r="U29" i="15"/>
  <c r="AY27" i="15"/>
  <c r="AA27" i="15"/>
  <c r="AB27" i="15" s="1"/>
  <c r="AU32" i="15"/>
  <c r="AM32" i="15"/>
  <c r="AN32" i="15" s="1"/>
  <c r="BI27" i="15"/>
  <c r="BA27" i="15"/>
  <c r="AW31" i="15"/>
  <c r="AX31" i="15" s="1"/>
  <c r="AO31" i="15"/>
  <c r="AP31" i="15" s="1"/>
  <c r="AC27" i="15"/>
  <c r="BQ30" i="15"/>
  <c r="BR30" i="15" s="1"/>
  <c r="BK28" i="15"/>
  <c r="BI30" i="15"/>
  <c r="BJ30" i="15" s="1"/>
  <c r="BA30" i="15"/>
  <c r="AU28" i="15"/>
  <c r="AQ32" i="15"/>
  <c r="AR32" i="15" s="1"/>
  <c r="AI32" i="15"/>
  <c r="AJ32" i="15" s="1"/>
  <c r="AC30" i="15"/>
  <c r="AD30" i="15" s="1"/>
  <c r="W28" i="15"/>
  <c r="X28" i="15" s="1"/>
  <c r="BS29" i="15"/>
  <c r="BM27" i="15"/>
  <c r="BI31" i="15"/>
  <c r="BJ31" i="15" s="1"/>
  <c r="BC29" i="15"/>
  <c r="AW27" i="15"/>
  <c r="AS31" i="15"/>
  <c r="AT31" i="15" s="1"/>
  <c r="AO27" i="15"/>
  <c r="AM29" i="15"/>
  <c r="AN29" i="15" s="1"/>
  <c r="AK31" i="15"/>
  <c r="AL31" i="15" s="1"/>
  <c r="AG27" i="15"/>
  <c r="AE29" i="15"/>
  <c r="AC31" i="15"/>
  <c r="AD31" i="15" s="1"/>
  <c r="Y27" i="15"/>
  <c r="W29" i="15"/>
  <c r="U31" i="15"/>
  <c r="V31" i="15" s="1"/>
  <c r="BG27" i="15"/>
  <c r="BM31" i="15"/>
  <c r="BN31" i="15" s="1"/>
  <c r="AS27" i="15"/>
  <c r="U27" i="15"/>
  <c r="BS28" i="15"/>
  <c r="BT28" i="15" s="1"/>
  <c r="BO32" i="15"/>
  <c r="BP32" i="15" s="1"/>
  <c r="BG32" i="15"/>
  <c r="BC28" i="15"/>
  <c r="AY32" i="15"/>
  <c r="AS30" i="15"/>
  <c r="AT30" i="15" s="1"/>
  <c r="AM28" i="15"/>
  <c r="AK30" i="15"/>
  <c r="AL30" i="15" s="1"/>
  <c r="AE28" i="15"/>
  <c r="AF28" i="15" s="1"/>
  <c r="AA32" i="15"/>
  <c r="AB32" i="15" s="1"/>
  <c r="U30" i="15"/>
  <c r="V30" i="15" s="1"/>
  <c r="BU27" i="15"/>
  <c r="BQ31" i="15"/>
  <c r="BR31" i="15" s="1"/>
  <c r="BK29" i="15"/>
  <c r="BU32" i="15"/>
  <c r="BV32" i="15" s="1"/>
  <c r="BS30" i="15"/>
  <c r="BT30" i="15" s="1"/>
  <c r="BQ32" i="15"/>
  <c r="BR32" i="15" s="1"/>
  <c r="BM28" i="15"/>
  <c r="BK30" i="15"/>
  <c r="BL30" i="15" s="1"/>
  <c r="BI32" i="15"/>
  <c r="BJ32" i="15" s="1"/>
  <c r="BE28" i="15"/>
  <c r="BC30" i="15"/>
  <c r="BA32" i="15"/>
  <c r="AW28" i="15"/>
  <c r="AU30" i="15"/>
  <c r="AS32" i="15"/>
  <c r="AT32" i="15" s="1"/>
  <c r="AO28" i="15"/>
  <c r="AM30" i="15"/>
  <c r="AN30" i="15" s="1"/>
  <c r="AK32" i="15"/>
  <c r="AL32" i="15" s="1"/>
  <c r="AG28" i="15"/>
  <c r="AE30" i="15"/>
  <c r="AF30" i="15" s="1"/>
  <c r="AC32" i="15"/>
  <c r="AD32" i="15" s="1"/>
  <c r="A55" i="15"/>
  <c r="A36" i="15"/>
  <c r="A35" i="15"/>
  <c r="A34" i="15"/>
  <c r="A33" i="15"/>
  <c r="A29" i="15"/>
  <c r="AH29" i="15" s="1"/>
  <c r="A28" i="15"/>
  <c r="T28" i="15" s="1"/>
  <c r="A27" i="15"/>
  <c r="T27" i="15" s="1"/>
  <c r="A37" i="15"/>
  <c r="A26" i="15"/>
  <c r="A25" i="15"/>
  <c r="A24" i="15"/>
  <c r="A23" i="15"/>
  <c r="A22" i="15"/>
  <c r="A21" i="15"/>
  <c r="A20" i="15"/>
  <c r="A19" i="15"/>
  <c r="A17" i="15"/>
  <c r="A16" i="15"/>
  <c r="AD33" i="15" l="1"/>
  <c r="AF33" i="15"/>
  <c r="AL33" i="15"/>
  <c r="AN33" i="15"/>
  <c r="AT33" i="15"/>
  <c r="AX33" i="15"/>
  <c r="BL33" i="15"/>
  <c r="BP33" i="15"/>
  <c r="V33" i="15"/>
  <c r="BJ33" i="15"/>
  <c r="BN33" i="15"/>
  <c r="BR33" i="15"/>
  <c r="X33" i="15"/>
  <c r="AH33" i="15"/>
  <c r="BT33" i="15"/>
  <c r="BV33" i="15"/>
  <c r="AB33" i="15"/>
  <c r="Z33" i="15"/>
  <c r="AJ33" i="15"/>
  <c r="AP33" i="15"/>
  <c r="AR33" i="15"/>
  <c r="BT34" i="15"/>
  <c r="BV34" i="15"/>
  <c r="BN34" i="15"/>
  <c r="AX34" i="15"/>
  <c r="BL34" i="15"/>
  <c r="BP34" i="15"/>
  <c r="AF34" i="15"/>
  <c r="AL34" i="15"/>
  <c r="AN34" i="15"/>
  <c r="AT34" i="15"/>
  <c r="Z34" i="15"/>
  <c r="BJ34" i="15"/>
  <c r="BR34" i="15"/>
  <c r="V34" i="15"/>
  <c r="AD34" i="15"/>
  <c r="AP34" i="15"/>
  <c r="AB34" i="15"/>
  <c r="AR34" i="15"/>
  <c r="AH34" i="15"/>
  <c r="X34" i="15"/>
  <c r="AJ34" i="15"/>
  <c r="AX28" i="15"/>
  <c r="BV27" i="15"/>
  <c r="V27" i="15"/>
  <c r="AF29" i="15"/>
  <c r="AP27" i="15"/>
  <c r="AD27" i="15"/>
  <c r="BJ27" i="15"/>
  <c r="AD29" i="15"/>
  <c r="AN27" i="15"/>
  <c r="BJ29" i="15"/>
  <c r="BT27" i="15"/>
  <c r="V28" i="15"/>
  <c r="AX29" i="15"/>
  <c r="AP29" i="15"/>
  <c r="AR29" i="15"/>
  <c r="AR28" i="15"/>
  <c r="V37" i="15"/>
  <c r="X37" i="15"/>
  <c r="AF37" i="15"/>
  <c r="AH37" i="15"/>
  <c r="AN37" i="15"/>
  <c r="AT37" i="15"/>
  <c r="BR37" i="15"/>
  <c r="BL37" i="15"/>
  <c r="BP37" i="15"/>
  <c r="BJ37" i="15"/>
  <c r="BN37" i="15"/>
  <c r="AD37" i="15"/>
  <c r="AL37" i="15"/>
  <c r="AX37" i="15"/>
  <c r="BT37" i="15"/>
  <c r="BV37" i="15"/>
  <c r="Z37" i="15"/>
  <c r="AB37" i="15"/>
  <c r="AJ37" i="15"/>
  <c r="AR37" i="15"/>
  <c r="AP37" i="15"/>
  <c r="V35" i="15"/>
  <c r="AF35" i="15"/>
  <c r="AN35" i="15"/>
  <c r="AP35" i="15"/>
  <c r="AT35" i="15"/>
  <c r="AB35" i="15"/>
  <c r="AR35" i="15"/>
  <c r="X35" i="15"/>
  <c r="AH35" i="15"/>
  <c r="BJ35" i="15"/>
  <c r="BN35" i="15"/>
  <c r="BR35" i="15"/>
  <c r="BV35" i="15"/>
  <c r="BT35" i="15"/>
  <c r="AX35" i="15"/>
  <c r="BL35" i="15"/>
  <c r="BP35" i="15"/>
  <c r="Z35" i="15"/>
  <c r="AJ35" i="15"/>
  <c r="AD35" i="15"/>
  <c r="AL35" i="15"/>
  <c r="AP28" i="15"/>
  <c r="AN28" i="15"/>
  <c r="AT27" i="15"/>
  <c r="X29" i="15"/>
  <c r="BY29" i="15" s="1"/>
  <c r="AH27" i="15"/>
  <c r="BN27" i="15"/>
  <c r="V29" i="15"/>
  <c r="AF27" i="15"/>
  <c r="BL27" i="15"/>
  <c r="AJ27" i="15"/>
  <c r="AT28" i="15"/>
  <c r="AL27" i="15"/>
  <c r="BN29" i="15"/>
  <c r="AJ29" i="15"/>
  <c r="BV29" i="15"/>
  <c r="AD36" i="15"/>
  <c r="BT36" i="15"/>
  <c r="BJ36" i="15"/>
  <c r="AB36" i="15"/>
  <c r="AJ36" i="15"/>
  <c r="AR36" i="15"/>
  <c r="BL36" i="15"/>
  <c r="BP36" i="15"/>
  <c r="V36" i="15"/>
  <c r="Z36" i="15"/>
  <c r="AF36" i="15"/>
  <c r="AN36" i="15"/>
  <c r="AP36" i="15"/>
  <c r="AT36" i="15"/>
  <c r="BV36" i="15"/>
  <c r="BN36" i="15"/>
  <c r="AL36" i="15"/>
  <c r="X36" i="15"/>
  <c r="BR36" i="15"/>
  <c r="AH36" i="15"/>
  <c r="AX36" i="15"/>
  <c r="AH28" i="15"/>
  <c r="BN28" i="15"/>
  <c r="BL29" i="15"/>
  <c r="Z27" i="15"/>
  <c r="AX27" i="15"/>
  <c r="BT29" i="15"/>
  <c r="BL28" i="15"/>
  <c r="X27" i="15"/>
  <c r="BY27" i="15" s="1"/>
  <c r="AT29" i="15"/>
  <c r="AR27" i="15"/>
  <c r="AL28" i="15"/>
  <c r="BR28" i="15"/>
  <c r="BR27" i="15"/>
  <c r="BP29" i="15"/>
  <c r="BP28" i="15"/>
  <c r="Z28" i="15"/>
  <c r="BY28" i="15" s="1"/>
  <c r="BW32" i="15"/>
  <c r="BY32" i="15"/>
  <c r="BY30" i="15"/>
  <c r="BW30" i="15"/>
  <c r="BW31" i="15"/>
  <c r="BY31" i="15"/>
  <c r="BW29" i="15"/>
  <c r="BW28" i="15"/>
  <c r="V23" i="13"/>
  <c r="BW37" i="15" l="1"/>
  <c r="BY37" i="15"/>
  <c r="BY34" i="15"/>
  <c r="BW34" i="15"/>
  <c r="BW38" i="15" s="1"/>
  <c r="BX27" i="15" s="1"/>
  <c r="BW36" i="15"/>
  <c r="BY36" i="15"/>
  <c r="BY35" i="15"/>
  <c r="BW35" i="15"/>
  <c r="BW27" i="15"/>
  <c r="BW33" i="15"/>
  <c r="BY33" i="15"/>
  <c r="Q55" i="13"/>
  <c r="Q54" i="13"/>
  <c r="S55" i="13"/>
  <c r="P55" i="13"/>
  <c r="O55" i="13"/>
  <c r="N55" i="13"/>
  <c r="M55" i="13"/>
  <c r="L55" i="13"/>
  <c r="K55" i="13"/>
  <c r="J55" i="13"/>
  <c r="I55" i="13"/>
  <c r="H55" i="13"/>
  <c r="G55" i="13"/>
  <c r="F55" i="13"/>
  <c r="E55" i="13"/>
  <c r="D55" i="13"/>
  <c r="C55" i="13"/>
  <c r="S54" i="13"/>
  <c r="P54" i="13"/>
  <c r="O54" i="13"/>
  <c r="N54" i="13"/>
  <c r="M54" i="13"/>
  <c r="L54" i="13"/>
  <c r="K54" i="13"/>
  <c r="J54" i="13"/>
  <c r="I54" i="13"/>
  <c r="H54" i="13"/>
  <c r="G54" i="13"/>
  <c r="D54" i="13"/>
  <c r="C54" i="13"/>
  <c r="U47" i="13"/>
  <c r="U46" i="13"/>
  <c r="U45" i="13"/>
  <c r="U44" i="13"/>
  <c r="U43" i="13"/>
  <c r="U39" i="13"/>
  <c r="U32" i="13"/>
  <c r="U35" i="13"/>
  <c r="U33" i="13"/>
  <c r="U25" i="13"/>
  <c r="U24" i="13"/>
  <c r="U22" i="13"/>
  <c r="U21" i="13"/>
  <c r="U20" i="13"/>
  <c r="U19" i="13"/>
  <c r="U18" i="13"/>
  <c r="U17" i="13"/>
  <c r="U16" i="13"/>
  <c r="U15" i="13"/>
  <c r="BX31" i="15" l="1"/>
  <c r="BX26" i="15"/>
  <c r="BX34" i="15"/>
  <c r="BX35" i="15"/>
  <c r="BX36" i="15"/>
  <c r="BX24" i="15"/>
  <c r="BX33" i="15"/>
  <c r="BX21" i="15"/>
  <c r="BX37" i="15"/>
  <c r="BX22" i="15"/>
  <c r="BX20" i="15"/>
  <c r="BX23" i="15"/>
  <c r="BX25" i="15"/>
  <c r="BX32" i="15"/>
  <c r="BX30" i="15"/>
  <c r="BX28" i="15"/>
  <c r="BX29" i="15"/>
  <c r="R56" i="13"/>
  <c r="R18" i="13" s="1"/>
  <c r="T56" i="13"/>
  <c r="T35" i="13" s="1"/>
  <c r="BX39" i="15" l="1"/>
  <c r="R43" i="13"/>
  <c r="R45" i="13"/>
  <c r="R44" i="13"/>
  <c r="R32" i="13"/>
  <c r="R46" i="13"/>
  <c r="R33" i="13"/>
  <c r="R39" i="13"/>
  <c r="R21" i="13"/>
  <c r="R20" i="13"/>
  <c r="R35" i="13"/>
  <c r="R19" i="13"/>
  <c r="R16" i="13"/>
  <c r="R17" i="13"/>
  <c r="R38" i="13"/>
  <c r="R52" i="13"/>
  <c r="R30" i="13"/>
  <c r="R49" i="13"/>
  <c r="R34" i="13"/>
  <c r="R36" i="13"/>
  <c r="R27" i="13"/>
  <c r="R41" i="13"/>
  <c r="R53" i="13"/>
  <c r="R28" i="13"/>
  <c r="R48" i="13"/>
  <c r="R51" i="13"/>
  <c r="R31" i="13"/>
  <c r="R50" i="13"/>
  <c r="R37" i="13"/>
  <c r="R40" i="13"/>
  <c r="R42" i="13"/>
  <c r="R29" i="13"/>
  <c r="R22" i="13"/>
  <c r="R24" i="13"/>
  <c r="R47" i="13"/>
  <c r="R15" i="13"/>
  <c r="R25" i="13"/>
  <c r="T39" i="13"/>
  <c r="T46" i="13"/>
  <c r="T19" i="13"/>
  <c r="T26" i="13"/>
  <c r="T20" i="13"/>
  <c r="T32" i="13"/>
  <c r="T45" i="13"/>
  <c r="T43" i="13"/>
  <c r="T47" i="13"/>
  <c r="T41" i="13"/>
  <c r="T18" i="13"/>
  <c r="X18" i="13" s="1"/>
  <c r="T34" i="13"/>
  <c r="T16" i="13"/>
  <c r="T44" i="13"/>
  <c r="T40" i="13"/>
  <c r="T15" i="13"/>
  <c r="T25" i="13"/>
  <c r="T38" i="13"/>
  <c r="T22" i="13"/>
  <c r="T21" i="13"/>
  <c r="T17" i="13"/>
  <c r="T24" i="13"/>
  <c r="T33" i="13"/>
  <c r="V18" i="13" l="1"/>
  <c r="X22" i="13"/>
  <c r="V26" i="13"/>
  <c r="X26" i="13"/>
  <c r="V48" i="13"/>
  <c r="X48" i="13"/>
  <c r="V30" i="13"/>
  <c r="X30" i="13"/>
  <c r="V21" i="13"/>
  <c r="X21" i="13"/>
  <c r="V29" i="13"/>
  <c r="X29" i="13"/>
  <c r="V52" i="13"/>
  <c r="X52" i="13"/>
  <c r="V42" i="13"/>
  <c r="X42" i="13"/>
  <c r="V53" i="13"/>
  <c r="X53" i="13"/>
  <c r="V38" i="13"/>
  <c r="X38" i="13"/>
  <c r="V33" i="13"/>
  <c r="X33" i="13"/>
  <c r="V40" i="13"/>
  <c r="X40" i="13"/>
  <c r="V41" i="13"/>
  <c r="X41" i="13"/>
  <c r="V46" i="13"/>
  <c r="X46" i="13"/>
  <c r="V37" i="13"/>
  <c r="X37" i="13"/>
  <c r="V50" i="13"/>
  <c r="X50" i="13"/>
  <c r="V19" i="13"/>
  <c r="X19" i="13"/>
  <c r="V47" i="13"/>
  <c r="X47" i="13"/>
  <c r="V31" i="13"/>
  <c r="X31" i="13"/>
  <c r="V34" i="13"/>
  <c r="X34" i="13"/>
  <c r="V35" i="13"/>
  <c r="X35" i="13"/>
  <c r="V45" i="13"/>
  <c r="X45" i="13"/>
  <c r="V28" i="13"/>
  <c r="X28" i="13"/>
  <c r="V39" i="13"/>
  <c r="X39" i="13"/>
  <c r="V25" i="13"/>
  <c r="X25" i="13"/>
  <c r="V27" i="13"/>
  <c r="X27" i="13"/>
  <c r="V32" i="13"/>
  <c r="X32" i="13"/>
  <c r="V36" i="13"/>
  <c r="X36" i="13"/>
  <c r="V44" i="13"/>
  <c r="X44" i="13"/>
  <c r="V24" i="13"/>
  <c r="X24" i="13"/>
  <c r="V51" i="13"/>
  <c r="X51" i="13"/>
  <c r="V49" i="13"/>
  <c r="X49" i="13"/>
  <c r="V20" i="13"/>
  <c r="X20" i="13"/>
  <c r="V43" i="13"/>
  <c r="X43" i="13"/>
  <c r="R55" i="13"/>
  <c r="V22" i="13"/>
  <c r="R54" i="13"/>
  <c r="T55" i="13"/>
  <c r="T54" i="13"/>
  <c r="V54" i="13" l="1"/>
  <c r="W37" i="13" s="1"/>
  <c r="W39" i="13" l="1"/>
  <c r="W45" i="13"/>
  <c r="W23" i="13"/>
  <c r="W44" i="13"/>
  <c r="W30" i="13"/>
  <c r="W27" i="13"/>
  <c r="W19" i="13"/>
  <c r="W36" i="13"/>
  <c r="W18" i="13"/>
  <c r="W21" i="13"/>
  <c r="W22" i="13"/>
  <c r="W31" i="13"/>
  <c r="W26" i="13"/>
  <c r="W50" i="13"/>
  <c r="W33" i="13"/>
  <c r="W52" i="13"/>
  <c r="W53" i="13"/>
  <c r="W47" i="13"/>
  <c r="W48" i="13"/>
  <c r="W40" i="13"/>
  <c r="W29" i="13"/>
  <c r="W42" i="13"/>
  <c r="W46" i="13"/>
  <c r="W41" i="13"/>
  <c r="W49" i="13"/>
  <c r="W35" i="13"/>
  <c r="W20" i="13"/>
  <c r="W32" i="13"/>
  <c r="W28" i="13"/>
  <c r="W38" i="13"/>
  <c r="W24" i="13"/>
  <c r="W43" i="13"/>
  <c r="W34" i="13"/>
  <c r="W25" i="13"/>
  <c r="W51" i="13"/>
  <c r="W55" i="13" l="1"/>
  <c r="W54" i="13"/>
  <c r="W56" i="13"/>
</calcChain>
</file>

<file path=xl/sharedStrings.xml><?xml version="1.0" encoding="utf-8"?>
<sst xmlns="http://schemas.openxmlformats.org/spreadsheetml/2006/main" count="1957" uniqueCount="506">
  <si>
    <t>Species ID</t>
  </si>
  <si>
    <t>SPECIES_EMISSION_RATE</t>
  </si>
  <si>
    <t>SPECIES_EMISSION_RATE_UNIT</t>
  </si>
  <si>
    <t>MASS_OVERAGE_PERCENT</t>
  </si>
  <si>
    <t>Thanks,</t>
  </si>
  <si>
    <t>PROFILE_CODE</t>
  </si>
  <si>
    <t>PROFILE_NAME</t>
  </si>
  <si>
    <t>PROFILE_TYPE</t>
  </si>
  <si>
    <t>MASTER_POLLUTANT</t>
  </si>
  <si>
    <t>QSCORE</t>
  </si>
  <si>
    <t>QUALITY</t>
  </si>
  <si>
    <t>CONTROLS</t>
  </si>
  <si>
    <t>PROFILE_DATE</t>
  </si>
  <si>
    <t>PROFILE_NOTES</t>
  </si>
  <si>
    <t>TOTAL</t>
  </si>
  <si>
    <t>TEST_METHOD</t>
  </si>
  <si>
    <t>NORMALIZATION_BASIS</t>
  </si>
  <si>
    <t>ORIGINAL_COMPOSITE</t>
  </si>
  <si>
    <t>STANDARD</t>
  </si>
  <si>
    <t>INCLUDES_INORGANIC GAS</t>
  </si>
  <si>
    <t>TEST_YEAR</t>
  </si>
  <si>
    <t>JUDGEMENT_RATING</t>
  </si>
  <si>
    <t>VINTAGE_RATING</t>
  </si>
  <si>
    <t>DATA_QUANTITY_RATING</t>
  </si>
  <si>
    <t>REGION</t>
  </si>
  <si>
    <t>SAMPLES</t>
  </si>
  <si>
    <t>LOWER_SIZE</t>
  </si>
  <si>
    <t>UPPER_SIZE</t>
  </si>
  <si>
    <t>SIBLING</t>
  </si>
  <si>
    <t>VERSION</t>
  </si>
  <si>
    <t>TOG_to_VOC RATIO</t>
  </si>
  <si>
    <t>TEMP_SAMPLE_C</t>
  </si>
  <si>
    <t>RH_SAMPLE</t>
  </si>
  <si>
    <t>PARTICLE_LOADING_ug_per_m3</t>
  </si>
  <si>
    <t>ORGANIC_LOADING_ug_per_m3</t>
  </si>
  <si>
    <t>CATEGORY_LEVEL_1_Generation_Mechanism</t>
  </si>
  <si>
    <t>CATEGORY_LEVEL_2_Sector_Equipment</t>
  </si>
  <si>
    <t>CATEGORY_LEVEL_3_ Fuel_Product</t>
  </si>
  <si>
    <t>MASTER_POLLUTANT_EMISSION_RATE</t>
  </si>
  <si>
    <t>MASTER_POLL_EMISSION_RATE_UNIT</t>
  </si>
  <si>
    <t>ORGANIC_MATTER_to_ORGANIC_CARBON_RATIO</t>
  </si>
  <si>
    <t>CREATED BY</t>
  </si>
  <si>
    <t>CREATED Date</t>
  </si>
  <si>
    <t>MODIFIED BY</t>
  </si>
  <si>
    <t>MODIFIED DATE</t>
  </si>
  <si>
    <t>REVIEWED BY</t>
  </si>
  <si>
    <t>REVIEWED DATE</t>
  </si>
  <si>
    <t>Data_Origin</t>
  </si>
  <si>
    <t>Keywords</t>
  </si>
  <si>
    <t>DOC_LINK</t>
  </si>
  <si>
    <t>Q_LINK</t>
  </si>
  <si>
    <t>None</t>
  </si>
  <si>
    <t>Ying Hsu</t>
  </si>
  <si>
    <t>SPECIES_ID</t>
  </si>
  <si>
    <t>WEIGHT_PERCENT</t>
  </si>
  <si>
    <t>UNCERTAINTY_PERCENT</t>
  </si>
  <si>
    <t>UNCERTAINTY_METHOD</t>
  </si>
  <si>
    <t>ANALYTICAL_METHOD</t>
  </si>
  <si>
    <t>PHASE</t>
  </si>
  <si>
    <t>Standard Deviation</t>
  </si>
  <si>
    <t>REF_Code</t>
  </si>
  <si>
    <t>REFERENCE</t>
  </si>
  <si>
    <t>REF_DESCRIPTION</t>
  </si>
  <si>
    <t>LINK</t>
  </si>
  <si>
    <t>INCLUDE_IN_SUM</t>
  </si>
  <si>
    <t>SC</t>
  </si>
  <si>
    <t>QSCORE_DESC</t>
  </si>
  <si>
    <t>B</t>
  </si>
  <si>
    <t>From: Diem, Art [mailto:Diem.Art@epa.gov]</t>
  </si>
  <si>
    <t>Sent: Thursday, May 14, 2020 1:05 PM</t>
  </si>
  <si>
    <t>To: Strum, Madeleine &lt;Strum.Madeleine@epa.gov&gt;; Ying Hsu &lt;Ying_Hsu@abtassoc.com&gt;</t>
  </si>
  <si>
    <t>Cc: Menetrez, Marc &lt;menetrez.marc@epa.gov&gt;; Frank Divita &lt;Frank_Divita@abtassoc.com&gt;</t>
  </si>
  <si>
    <t>Subject: RE: butler and greene data</t>
  </si>
  <si>
    <t>Warning from Abt: External email. Be careful opening links and attachments.</t>
  </si>
  <si>
    <t>Following up on Greene County.</t>
  </si>
  <si>
    <t>Discussed before Ying got on the call, these reports have usable data:</t>
  </si>
  <si>
    <t>Sandrock Well Site</t>
  </si>
  <si>
    <t>Consol MOR10 Pad</t>
  </si>
  <si>
    <t>Liberty Well Site</t>
  </si>
  <si>
    <t>Adams RHL13 Pad</t>
  </si>
  <si>
    <t>Bilski RHL28 Pad</t>
  </si>
  <si>
    <t>Braddock RHL99 Pad</t>
  </si>
  <si>
    <t>CNX RHL4 Pad</t>
  </si>
  <si>
    <t>CNX RHL22 Pad</t>
  </si>
  <si>
    <t>Finnegan RHL8 Pad</t>
  </si>
  <si>
    <t>I think we don’t want any “meter run gas reports” and we don’t want any liquids analysis reports.</t>
  </si>
  <si>
    <t>I’ll get back to you about what O&amp;G SCCs have activity in PA in the NEI.</t>
  </si>
  <si>
    <t>Art</t>
  </si>
  <si>
    <t>Municipality</t>
  </si>
  <si>
    <t>Gilmore Twp</t>
  </si>
  <si>
    <t>Morris Twp</t>
  </si>
  <si>
    <t>Richhill Twp</t>
  </si>
  <si>
    <t>County</t>
  </si>
  <si>
    <t>Greene</t>
  </si>
  <si>
    <t>Operator</t>
  </si>
  <si>
    <t>Vantage Energy</t>
  </si>
  <si>
    <t>CNX Gas Company</t>
  </si>
  <si>
    <t>Site Name</t>
  </si>
  <si>
    <t>Sand Rock 11H</t>
  </si>
  <si>
    <t>RHL-13 Wellpad</t>
  </si>
  <si>
    <t>RHL-11</t>
  </si>
  <si>
    <t>MOR-42A</t>
  </si>
  <si>
    <t>RHL-4D</t>
  </si>
  <si>
    <t>RHL-22H</t>
  </si>
  <si>
    <t>MOR 42A</t>
  </si>
  <si>
    <t>Well Permit Number(s)</t>
  </si>
  <si>
    <t>2018 Gas Production (Mcf)</t>
  </si>
  <si>
    <t>2018 Gas Production Days</t>
  </si>
  <si>
    <t>Date of Gas Composition Analysis</t>
  </si>
  <si>
    <t>Data Source</t>
  </si>
  <si>
    <t>GC extended analysis of gas liberated from separator water</t>
  </si>
  <si>
    <t>Wellpad, lab assumed 0.001% for each BTEX</t>
  </si>
  <si>
    <t>Stream composition. Assume 0.001% for each BTEX</t>
  </si>
  <si>
    <t>RHL-28 Wellpad</t>
  </si>
  <si>
    <t>RHL-99 Wellpad</t>
  </si>
  <si>
    <t>RHL-4 Wellpad</t>
  </si>
  <si>
    <t>RHL-71 Wellpad</t>
  </si>
  <si>
    <t>Molecular Weight</t>
  </si>
  <si>
    <t>Mean</t>
  </si>
  <si>
    <t>Renormalized Mean</t>
  </si>
  <si>
    <t>mol%</t>
  </si>
  <si>
    <t>wt%</t>
  </si>
  <si>
    <t>Water</t>
  </si>
  <si>
    <t>Hydrogen Sulfide</t>
  </si>
  <si>
    <t>Nitrogen</t>
  </si>
  <si>
    <t>Oxygen</t>
  </si>
  <si>
    <t>Carbon Dioxide</t>
  </si>
  <si>
    <t>Methane</t>
  </si>
  <si>
    <t>Ethane</t>
  </si>
  <si>
    <t>Propane</t>
  </si>
  <si>
    <t>Isobutane</t>
  </si>
  <si>
    <t>n-Butane</t>
  </si>
  <si>
    <t>2,2-dimethylpropane</t>
  </si>
  <si>
    <t>Isopentane</t>
  </si>
  <si>
    <t>n-Pentane</t>
  </si>
  <si>
    <t>2,2-dimethylbutane</t>
  </si>
  <si>
    <t>Cyclopentane</t>
  </si>
  <si>
    <t>2,3-dimethylbutane</t>
  </si>
  <si>
    <t>2-methylpentane</t>
  </si>
  <si>
    <t>3-methylpentane</t>
  </si>
  <si>
    <t>n-Hexane</t>
  </si>
  <si>
    <t>Methylcyclopentane</t>
  </si>
  <si>
    <t>Cyclohexane</t>
  </si>
  <si>
    <t>Other Hexanes</t>
  </si>
  <si>
    <t>2-Methylhexane</t>
  </si>
  <si>
    <t>3-Methylhexane</t>
  </si>
  <si>
    <t>2,2,4-Trimethylpentane</t>
  </si>
  <si>
    <t>Other C7</t>
  </si>
  <si>
    <t>n-Heptane</t>
  </si>
  <si>
    <t>Methylcyclohexane</t>
  </si>
  <si>
    <t>Other C8</t>
  </si>
  <si>
    <t>n-Octane</t>
  </si>
  <si>
    <t>Benzene</t>
  </si>
  <si>
    <t>Toluene</t>
  </si>
  <si>
    <t>Ethylbenzene</t>
  </si>
  <si>
    <t>M &amp; P Xylene</t>
  </si>
  <si>
    <t>O-Xylene</t>
  </si>
  <si>
    <t>C8+</t>
  </si>
  <si>
    <t>Other C9</t>
  </si>
  <si>
    <t>n-Nonane</t>
  </si>
  <si>
    <t>Other C10</t>
  </si>
  <si>
    <t>n-Decane</t>
  </si>
  <si>
    <t>Undecanes</t>
  </si>
  <si>
    <t>Sum of Parts</t>
  </si>
  <si>
    <t>VOC
(sum of propane and above)</t>
  </si>
  <si>
    <t>Density of Gas (lb/lb-mol)</t>
  </si>
  <si>
    <t>Density of Gas (lb/cf)</t>
  </si>
  <si>
    <t>Perry Twp</t>
  </si>
  <si>
    <t>Liverty Well</t>
  </si>
  <si>
    <t>1 H Well</t>
  </si>
  <si>
    <t>&lt;0.001</t>
  </si>
  <si>
    <t>Hexanes +</t>
  </si>
  <si>
    <t>Average of 11/11/2014 - 11/26/2014</t>
  </si>
  <si>
    <t>Hexane+ Breakout Ratio</t>
  </si>
  <si>
    <t>Sum of C6+</t>
  </si>
  <si>
    <t>Volatilization</t>
  </si>
  <si>
    <t>Oil and gas; Well</t>
  </si>
  <si>
    <t>Natural gas</t>
  </si>
  <si>
    <t>Pennsylvania, Greene County</t>
  </si>
  <si>
    <t>GAS</t>
  </si>
  <si>
    <t>TOG</t>
  </si>
  <si>
    <t>2014-2019</t>
  </si>
  <si>
    <t>C-8 Compounds</t>
  </si>
  <si>
    <t>Oil and gas; Well; Natural gas</t>
  </si>
  <si>
    <t>Pennsylvania Department of Environmental Protection</t>
  </si>
  <si>
    <t>Sum of species</t>
  </si>
  <si>
    <t>Raw gas samples were collected at natural gas wells and analyzed by commercial labs using combination of Gas Processors Association (GPA) adopted methods. GPA 2286 test method provides extended compounds from methane (C1) to undecane (C11), whereas GPA 2261 speciate methane to C5 alkanes and lumped C6+ compounds together.</t>
  </si>
  <si>
    <t>Liberty Well</t>
  </si>
  <si>
    <t>GC-FID and TCD</t>
  </si>
  <si>
    <t>Calculate breakout ratios for C6+ in Liberty Well</t>
  </si>
  <si>
    <t>Butler Twp</t>
  </si>
  <si>
    <t>Butler</t>
  </si>
  <si>
    <t>XTO Energy</t>
  </si>
  <si>
    <t>2018 NGL Production (bbl)</t>
  </si>
  <si>
    <t>2018 NGL Production Days</t>
  </si>
  <si>
    <t>Molecular Nitrogen</t>
  </si>
  <si>
    <t>Molecular Oxygen</t>
  </si>
  <si>
    <t>Helium</t>
  </si>
  <si>
    <t>Molecular Hydrogen</t>
  </si>
  <si>
    <t>Heptanes</t>
  </si>
  <si>
    <t>Octanes</t>
  </si>
  <si>
    <t>Nonanes</t>
  </si>
  <si>
    <t>Decanes</t>
  </si>
  <si>
    <t>Xylene</t>
  </si>
  <si>
    <t>Hinch Smith Pad</t>
  </si>
  <si>
    <t>019-21952</t>
  </si>
  <si>
    <t>Used Pad Average from Hinch Smith Pad for
Hinch Smith 2H</t>
  </si>
  <si>
    <t>019-22119</t>
  </si>
  <si>
    <t>019-22120</t>
  </si>
  <si>
    <t>019-22159</t>
  </si>
  <si>
    <t>019-22205</t>
  </si>
  <si>
    <t>Gas Analytical Services C6+ Report for Hinch Smith 6H</t>
  </si>
  <si>
    <t>Gas Analytical Services C6+ Report for Hinch Smith 7H</t>
  </si>
  <si>
    <t>Gas Analytical Services C6+ Report for Hinch Smith 5H</t>
  </si>
  <si>
    <t>Gas Analytical Services C6+ Report for Hinch Smith 10HB</t>
  </si>
  <si>
    <t>Clearfield Twp</t>
  </si>
  <si>
    <t>Cypher Pad A</t>
  </si>
  <si>
    <t>019-22019</t>
  </si>
  <si>
    <t>019-22053</t>
  </si>
  <si>
    <t>019-22054</t>
  </si>
  <si>
    <t>019-22167</t>
  </si>
  <si>
    <t>019-22173</t>
  </si>
  <si>
    <t>Gas Analytical Services C6+ Report for
Cypher A 1H</t>
  </si>
  <si>
    <t>Gas Analytical Services C6+ Report for
Cypher A 2H</t>
  </si>
  <si>
    <t>Gas Analytical Services C6+ Report for
Cypher A 3H</t>
  </si>
  <si>
    <t>Gas Analytical Services C6+ Report for
Cypher A 4H</t>
  </si>
  <si>
    <t>Gas Analytical Services C6+ Report for
Cypher A 5H</t>
  </si>
  <si>
    <t>SPL Gas Analysis for
Cypher A 5H</t>
  </si>
  <si>
    <t>Cypher Pad B</t>
  </si>
  <si>
    <t>019-22020</t>
  </si>
  <si>
    <t>019-22166</t>
  </si>
  <si>
    <t>019-22174</t>
  </si>
  <si>
    <t>019-22175</t>
  </si>
  <si>
    <t>019-22176</t>
  </si>
  <si>
    <t>Gas Analytical Services C6+ Report for
Cypher B 1H</t>
  </si>
  <si>
    <t>SPL Gas Analysis for
Cypher B 1H</t>
  </si>
  <si>
    <t>Gas Analytical Services C6+ Report for
Cypher B 2H</t>
  </si>
  <si>
    <t>Gas Analytical Services C6+ Report for
Cypher B 5H</t>
  </si>
  <si>
    <t>Gas Analytical Services C6+ Report for
Cypher B 4H</t>
  </si>
  <si>
    <t>Gas Analytical Services C6+ Report for
Cypher B 3H</t>
  </si>
  <si>
    <t>Clinton Twp</t>
  </si>
  <si>
    <t>PennEnergy Resources</t>
  </si>
  <si>
    <t>Pad W73</t>
  </si>
  <si>
    <t>Pad W74</t>
  </si>
  <si>
    <t>Pad W75</t>
  </si>
  <si>
    <t>019-22038</t>
  </si>
  <si>
    <t>019-22078</t>
  </si>
  <si>
    <t>019-22106</t>
  </si>
  <si>
    <t>Gas Analytical Services C6+ Gas Analysis from Pad W73 for W73 1H</t>
  </si>
  <si>
    <t>Gas Analytical Services C6+ Gas Analysis from Pad W74 for W74 1H</t>
  </si>
  <si>
    <t>Gas Analytical Services C6+ Gas Analysis from Pad W75 for W75 1H</t>
  </si>
  <si>
    <t>Pad W77</t>
  </si>
  <si>
    <t>Pad W78</t>
  </si>
  <si>
    <t>019-22151</t>
  </si>
  <si>
    <t>019-22154</t>
  </si>
  <si>
    <t>Gas Analytical Services C6+ Gas Analysis from Pad W77 for W77 1H</t>
  </si>
  <si>
    <t>Gas Analytical Services C6+ Gas Analysis from Pad W78 for W78 1H</t>
  </si>
  <si>
    <t>Forward Twp</t>
  </si>
  <si>
    <t>Hixon Pad</t>
  </si>
  <si>
    <t>019-22207</t>
  </si>
  <si>
    <t>SPL Gas Analysis for Hixon 6HB</t>
  </si>
  <si>
    <t>Jefferson Twp</t>
  </si>
  <si>
    <t>Beilstein C Pad</t>
  </si>
  <si>
    <t>019-22232</t>
  </si>
  <si>
    <t>SPL Gas Analysis for Beilstein C 3H</t>
  </si>
  <si>
    <t>Veselich Pad</t>
  </si>
  <si>
    <t>019-22222</t>
  </si>
  <si>
    <t>SPL Gas Analysis for Veselich B 5H</t>
  </si>
  <si>
    <t>Oakland Twp</t>
  </si>
  <si>
    <t>Clouse Pad</t>
  </si>
  <si>
    <t>019-22058</t>
  </si>
  <si>
    <t>019-22077</t>
  </si>
  <si>
    <t>019-22149</t>
  </si>
  <si>
    <t>019-22150</t>
  </si>
  <si>
    <t>019-22168</t>
  </si>
  <si>
    <t>019-22206</t>
  </si>
  <si>
    <t>Gas Analytical Services C6+ Report for
Clouse 1H</t>
  </si>
  <si>
    <t>Gas Analytical Services C6+ Report for
Clouse 6H</t>
  </si>
  <si>
    <t>Gas Analytical Services C6+ Report for
Clouse 2H</t>
  </si>
  <si>
    <t>Gas Analytical Services C6+ Report for
Clouse 3H</t>
  </si>
  <si>
    <t>Gas Analytical Services C6+ Report for
Clouse 4H</t>
  </si>
  <si>
    <t>Gas Analytical Services C6+ Report for
Clouse 5H</t>
  </si>
  <si>
    <t>Summit Twp</t>
  </si>
  <si>
    <t>Dreher Pad</t>
  </si>
  <si>
    <t>Geibel Pad</t>
  </si>
  <si>
    <t>Heasly Nurseries Pad</t>
  </si>
  <si>
    <t>019-22065</t>
  </si>
  <si>
    <t>019-22148</t>
  </si>
  <si>
    <t>019-21996</t>
  </si>
  <si>
    <t>SPL Gas Analysis for Dreher A 1H</t>
  </si>
  <si>
    <t>SPL Gas Analysis for Geibel 3H</t>
  </si>
  <si>
    <t>SPL Gas Analysis for Heasley Nurseries 4H</t>
  </si>
  <si>
    <t>Winfield Twp</t>
  </si>
  <si>
    <t>Pad W23</t>
  </si>
  <si>
    <t>019-22117</t>
  </si>
  <si>
    <t>Gas Analytical Services C6+ Gas Analysis for Pad W23 1H</t>
  </si>
  <si>
    <t>2014-2015</t>
  </si>
  <si>
    <t>Pennsylvania, Butler County</t>
  </si>
  <si>
    <t>A</t>
  </si>
  <si>
    <t>BTEX subtotal</t>
  </si>
  <si>
    <t>SUM</t>
  </si>
  <si>
    <t>HEXANE+ MOL% SUBOTAL</t>
  </si>
  <si>
    <t>Dodecanes</t>
  </si>
  <si>
    <t>2,6-Dimethylheptane</t>
  </si>
  <si>
    <t>2,2,4-Trimethylcyclopentane</t>
  </si>
  <si>
    <t>1,c2,c3-Trimethylcyclopentane</t>
  </si>
  <si>
    <t>Ethylcyclohexane</t>
  </si>
  <si>
    <t>2,4,4-Trimethylcyclohexane</t>
  </si>
  <si>
    <t>1,c4-Dimethylcyclohexane</t>
  </si>
  <si>
    <t>1,t4-Dimethylcyclohexane</t>
  </si>
  <si>
    <t>1,t3-Dimethylcyclohexane</t>
  </si>
  <si>
    <t>1,c2-Dimethylcyclohexane</t>
  </si>
  <si>
    <t>1,t2-Dimethylcyclohexane</t>
  </si>
  <si>
    <t>2,5-Dimethylhexane</t>
  </si>
  <si>
    <t>2,3-Dimethylhexane</t>
  </si>
  <si>
    <t>4-Methylheptane</t>
  </si>
  <si>
    <t>3-Methylheptane</t>
  </si>
  <si>
    <t>2-Methylheptane</t>
  </si>
  <si>
    <t>o-Xylene</t>
  </si>
  <si>
    <t>m/p-Xylene</t>
  </si>
  <si>
    <t>1,t3-Dimethylcyclopentane</t>
  </si>
  <si>
    <t>1,t2-Dimethylcyclopentane</t>
  </si>
  <si>
    <t>3,3-Dimethylpentane</t>
  </si>
  <si>
    <t>2,3-Dimethylpentane</t>
  </si>
  <si>
    <t>2,2-Dimethylpentane</t>
  </si>
  <si>
    <t>2,3-Dimethylbutane</t>
  </si>
  <si>
    <t>2,2-Dimethylbutane</t>
  </si>
  <si>
    <t>3-Methylpentane</t>
  </si>
  <si>
    <t>2-Methylpentane</t>
  </si>
  <si>
    <t>2,2-Dimethylpropane</t>
  </si>
  <si>
    <t>Extended Analysis Mol%</t>
  </si>
  <si>
    <t>C6+ Report</t>
  </si>
  <si>
    <t>RENORMALIZED MEAN (Hex+ Breakout ratio - COL AE)</t>
  </si>
  <si>
    <t>RENORMALIZED MEAN (MOL %)</t>
  </si>
  <si>
    <t>SD</t>
  </si>
  <si>
    <t>MEAN</t>
  </si>
  <si>
    <t>MEDIAN</t>
  </si>
  <si>
    <t>MAXIMUM</t>
  </si>
  <si>
    <t>MINIMUM</t>
  </si>
  <si>
    <t>WFN10 Pad</t>
  </si>
  <si>
    <t>WFN5 Pad</t>
  </si>
  <si>
    <t>Walker WFN4 Pad</t>
  </si>
  <si>
    <t>Consol WFN6 Pad</t>
  </si>
  <si>
    <t>CNX Gas Co WFN1 Pad</t>
  </si>
  <si>
    <t>Consol NV60 Pad</t>
  </si>
  <si>
    <t>Randolph Karen 11410 Pad</t>
  </si>
  <si>
    <t>Martin Edward 12273 Pad</t>
  </si>
  <si>
    <t>CNX MOR31 Pad</t>
  </si>
  <si>
    <t>Compound</t>
  </si>
  <si>
    <t>xylenes-default split</t>
  </si>
  <si>
    <t>detailed report</t>
  </si>
  <si>
    <t>125-27996
125-28001
125-28002
125-28003</t>
  </si>
  <si>
    <t>125-27483
125-27484
125-27503</t>
  </si>
  <si>
    <t>125-27596
125-27597
125-27599
125-27600</t>
  </si>
  <si>
    <t>125-27659
125-27660
125-27661
125-27687</t>
  </si>
  <si>
    <t>125-27329
125-27330
125-27331</t>
  </si>
  <si>
    <t>Hexanes+%</t>
  </si>
  <si>
    <t>BTEX</t>
  </si>
  <si>
    <t>Gas Analysis for
Hunter John 1H</t>
  </si>
  <si>
    <r>
      <t xml:space="preserve">Legacy Measurement Solutions </t>
    </r>
    <r>
      <rPr>
        <b/>
        <sz val="10"/>
        <color rgb="FFFF0000"/>
        <rFont val="Times New Roman"/>
        <family val="1"/>
      </rPr>
      <t>GPA 2286 Report</t>
    </r>
    <r>
      <rPr>
        <b/>
        <sz val="10"/>
        <color theme="1"/>
        <rFont val="Times New Roman"/>
        <family val="1"/>
      </rPr>
      <t xml:space="preserve"> for Kresic 1H</t>
    </r>
  </si>
  <si>
    <r>
      <t xml:space="preserve">Gas Analytical Services </t>
    </r>
    <r>
      <rPr>
        <b/>
        <sz val="10"/>
        <color rgb="FFFF0000"/>
        <rFont val="Times New Roman"/>
        <family val="1"/>
      </rPr>
      <t>GPA 2261-13 Report</t>
    </r>
    <r>
      <rPr>
        <b/>
        <sz val="10"/>
        <color theme="1"/>
        <rFont val="Times New Roman"/>
        <family val="1"/>
      </rPr>
      <t xml:space="preserve"> for Coffield-Gottschalk
NV34 BHS</t>
    </r>
  </si>
  <si>
    <r>
      <t xml:space="preserve">Gas Analytical Services </t>
    </r>
    <r>
      <rPr>
        <b/>
        <sz val="10"/>
        <color rgb="FFFF0000"/>
        <rFont val="Times New Roman"/>
        <family val="1"/>
      </rPr>
      <t>GPA 2261-13 Report</t>
    </r>
    <r>
      <rPr>
        <b/>
        <sz val="10"/>
        <color theme="1"/>
        <rFont val="Times New Roman"/>
        <family val="1"/>
      </rPr>
      <t xml:space="preserve"> for Lamperski NV 58 FHS</t>
    </r>
  </si>
  <si>
    <r>
      <t xml:space="preserve">Gas Analytical Services </t>
    </r>
    <r>
      <rPr>
        <b/>
        <sz val="10"/>
        <color rgb="FFFF0000"/>
        <rFont val="Times New Roman"/>
        <family val="1"/>
      </rPr>
      <t>GPA 2261-13 Report</t>
    </r>
    <r>
      <rPr>
        <b/>
        <sz val="10"/>
        <color theme="1"/>
        <rFont val="Times New Roman"/>
        <family val="1"/>
      </rPr>
      <t xml:space="preserve"> for
Bedillion NV61 EHS</t>
    </r>
  </si>
  <si>
    <r>
      <t xml:space="preserve">Gas Analytical Services </t>
    </r>
    <r>
      <rPr>
        <b/>
        <sz val="10"/>
        <color rgb="FFFF0000"/>
        <rFont val="Times New Roman"/>
        <family val="1"/>
      </rPr>
      <t>GPA 2261-13 Report</t>
    </r>
    <r>
      <rPr>
        <b/>
        <sz val="10"/>
        <color theme="1"/>
        <rFont val="Times New Roman"/>
        <family val="1"/>
      </rPr>
      <t xml:space="preserve"> for Consol MOR30 MHS</t>
    </r>
  </si>
  <si>
    <t>Gas Anaylsis for
WFN10 EHS</t>
  </si>
  <si>
    <t>Gas Anaylsis for
WFN5 EHS</t>
  </si>
  <si>
    <t>Gas Anaylsis for Walker WFN4 BHS</t>
  </si>
  <si>
    <t>Gas Anaylsis for
Consol WFN6 AHS</t>
  </si>
  <si>
    <t>Gas Anaylsis for CNX Gas Company WFN1 FHS</t>
  </si>
  <si>
    <t>Gas Analysis for Consol NV60 FHS</t>
  </si>
  <si>
    <r>
      <t xml:space="preserve">Gas Analytical Services </t>
    </r>
    <r>
      <rPr>
        <b/>
        <sz val="10"/>
        <color rgb="FFFF0000"/>
        <rFont val="Times New Roman"/>
        <family val="1"/>
      </rPr>
      <t>GPA-2286 Report</t>
    </r>
    <r>
      <rPr>
        <b/>
        <sz val="10"/>
        <color theme="1"/>
        <rFont val="Times New Roman"/>
        <family val="1"/>
      </rPr>
      <t xml:space="preserve"> for Randolph Karen 5H</t>
    </r>
  </si>
  <si>
    <r>
      <t xml:space="preserve">Gas Analytical Services </t>
    </r>
    <r>
      <rPr>
        <b/>
        <sz val="10"/>
        <color rgb="FFFF0000"/>
        <rFont val="Times New Roman"/>
        <family val="1"/>
      </rPr>
      <t>GPA 2286 Report</t>
    </r>
    <r>
      <rPr>
        <b/>
        <sz val="10"/>
        <color theme="1"/>
        <rFont val="Times New Roman"/>
        <family val="1"/>
      </rPr>
      <t xml:space="preserve"> for Martin Edwards 5H</t>
    </r>
  </si>
  <si>
    <r>
      <t xml:space="preserve">Gas Analytical Services </t>
    </r>
    <r>
      <rPr>
        <b/>
        <sz val="10"/>
        <color rgb="FFFF0000"/>
        <rFont val="Times New Roman"/>
        <family val="1"/>
      </rPr>
      <t>GPA 2286-14 Report</t>
    </r>
    <r>
      <rPr>
        <b/>
        <sz val="10"/>
        <color theme="1"/>
        <rFont val="Times New Roman"/>
        <family val="1"/>
      </rPr>
      <t xml:space="preserve"> for CNX MOR31 NHS</t>
    </r>
  </si>
  <si>
    <r>
      <t>GRI-GLYCalc v4.0 Input Values for Wet Gas Stream</t>
    </r>
    <r>
      <rPr>
        <b/>
        <sz val="10"/>
        <color rgb="FFFF0000"/>
        <rFont val="Times New Roman"/>
        <family val="1"/>
      </rPr>
      <t xml:space="preserve"> Based on Sample</t>
    </r>
    <r>
      <rPr>
        <b/>
        <sz val="10"/>
        <color theme="1"/>
        <rFont val="Times New Roman"/>
        <family val="1"/>
      </rPr>
      <t xml:space="preserve"> for Baumel 3H</t>
    </r>
  </si>
  <si>
    <r>
      <t xml:space="preserve">GRI-GLYCalc v4.0 Input Values for Wet Gas Stream </t>
    </r>
    <r>
      <rPr>
        <b/>
        <sz val="10"/>
        <color rgb="FFFF0000"/>
        <rFont val="Times New Roman"/>
        <family val="1"/>
      </rPr>
      <t>Based on Extended Analysis</t>
    </r>
    <r>
      <rPr>
        <b/>
        <sz val="10"/>
        <color theme="1"/>
        <rFont val="Times New Roman"/>
        <family val="1"/>
      </rPr>
      <t xml:space="preserve"> for Eakin Sandra 7H</t>
    </r>
  </si>
  <si>
    <r>
      <t xml:space="preserve">GRI-GLYCalc v4.0 Input Values for Wet Gas Stream </t>
    </r>
    <r>
      <rPr>
        <b/>
        <sz val="10"/>
        <color rgb="FFFF0000"/>
        <rFont val="Times New Roman"/>
        <family val="1"/>
      </rPr>
      <t>Based on Extended
Gas Analysis</t>
    </r>
    <r>
      <rPr>
        <b/>
        <sz val="10"/>
        <color theme="1"/>
        <rFont val="Times New Roman"/>
        <family val="1"/>
      </rPr>
      <t xml:space="preserve"> for Huffys Family 4H </t>
    </r>
  </si>
  <si>
    <t>C6+ Gas Analysis Data</t>
  </si>
  <si>
    <t>USE</t>
  </si>
  <si>
    <t>Extended Gas Analysis Data</t>
  </si>
  <si>
    <t>GRI-GLYCalc Data</t>
  </si>
  <si>
    <t>2018 Oil Production Days</t>
  </si>
  <si>
    <t>2018 Oil Production (bbl)</t>
  </si>
  <si>
    <t>125-27098</t>
  </si>
  <si>
    <t>125-24883</t>
  </si>
  <si>
    <t>125-24924</t>
  </si>
  <si>
    <t>125-24828</t>
  </si>
  <si>
    <t>125-27251</t>
  </si>
  <si>
    <t>125-28278</t>
  </si>
  <si>
    <t>125-27359</t>
  </si>
  <si>
    <t>125-27258</t>
  </si>
  <si>
    <t>125-27135</t>
  </si>
  <si>
    <t>125-24909</t>
  </si>
  <si>
    <t>125-24781</t>
  </si>
  <si>
    <t>125-27078</t>
  </si>
  <si>
    <t>125-27999</t>
  </si>
  <si>
    <t>125-27482</t>
  </si>
  <si>
    <t>125-24221</t>
  </si>
  <si>
    <t>125-27598</t>
  </si>
  <si>
    <t>125-27657</t>
  </si>
  <si>
    <t>125-23934</t>
  </si>
  <si>
    <t>Hunter John Pad</t>
  </si>
  <si>
    <t>Kresic 11161 Pad</t>
  </si>
  <si>
    <t>Coffield-Gottschalk NV34</t>
  </si>
  <si>
    <t>Lamperski NV58 Pad</t>
  </si>
  <si>
    <t>Bedillion NV61 Pad</t>
  </si>
  <si>
    <t>Consol MOR30 Pad</t>
  </si>
  <si>
    <t>Baumel 10226 Pad</t>
  </si>
  <si>
    <t>Eakin Sandra 11420 Pad</t>
  </si>
  <si>
    <t>Huffys Family Pad</t>
  </si>
  <si>
    <t>Range Resources</t>
  </si>
  <si>
    <t>HG Energy</t>
  </si>
  <si>
    <t>Washington</t>
  </si>
  <si>
    <t>Donegal Twp</t>
  </si>
  <si>
    <t>Smith Twp</t>
  </si>
  <si>
    <t>East Finley Twp</t>
  </si>
  <si>
    <t>West Finley Twp</t>
  </si>
  <si>
    <t>North Strabane Twp</t>
  </si>
  <si>
    <t>South Strabane Twp</t>
  </si>
  <si>
    <t>Somerset Twp</t>
  </si>
  <si>
    <t>2013-2018</t>
  </si>
  <si>
    <t>Pennsylvania, Washington County</t>
  </si>
  <si>
    <t>Renormalized TOG</t>
  </si>
  <si>
    <r>
      <t>From:</t>
    </r>
    <r>
      <rPr>
        <sz val="11"/>
        <color theme="1"/>
        <rFont val="Calibri"/>
        <family val="2"/>
        <scheme val="minor"/>
      </rPr>
      <t xml:space="preserve"> Strum, Madeleine [mailto:Strum.Madeleine@epa.gov]</t>
    </r>
  </si>
  <si>
    <r>
      <t>Sent:</t>
    </r>
    <r>
      <rPr>
        <sz val="11"/>
        <color theme="1"/>
        <rFont val="Calibri"/>
        <family val="2"/>
        <scheme val="minor"/>
      </rPr>
      <t xml:space="preserve"> Wednesday, May 13, 2020 7:31 PM</t>
    </r>
  </si>
  <si>
    <r>
      <t>To:</t>
    </r>
    <r>
      <rPr>
        <sz val="11"/>
        <color theme="1"/>
        <rFont val="Calibri"/>
        <family val="2"/>
        <scheme val="minor"/>
      </rPr>
      <t xml:space="preserve"> Ying Hsu &lt;Ying_Hsu@abtassoc.com&gt;; Diem, Art &lt;Diem.Art@epa.gov&gt;</t>
    </r>
  </si>
  <si>
    <r>
      <t>Cc:</t>
    </r>
    <r>
      <rPr>
        <sz val="11"/>
        <color theme="1"/>
        <rFont val="Calibri"/>
        <family val="2"/>
        <scheme val="minor"/>
      </rPr>
      <t xml:space="preserve"> Menetrez, Marc &lt;menetrez.marc@epa.gov&gt;; Frank Divita &lt;Frank_Divita@abtassoc.com&gt;</t>
    </r>
  </si>
  <si>
    <r>
      <t>Subject:</t>
    </r>
    <r>
      <rPr>
        <sz val="11"/>
        <color theme="1"/>
        <rFont val="Calibri"/>
        <family val="2"/>
        <scheme val="minor"/>
      </rPr>
      <t xml:space="preserve"> RE: butler and greene data</t>
    </r>
  </si>
  <si>
    <r>
      <t>Warning from Abt:</t>
    </r>
    <r>
      <rPr>
        <sz val="10"/>
        <color rgb="FF000000"/>
        <rFont val="Calibri"/>
        <family val="2"/>
        <scheme val="minor"/>
      </rPr>
      <t xml:space="preserve"> External email. Be careful opening links and attachments.</t>
    </r>
  </si>
  <si>
    <t>I cannot make the time Art scheduled so I hope we will find another time.</t>
  </si>
  <si>
    <t>I looked at the Butler data and chose some analyses that can be used.  I don’t think we can use EPIC-based composition data.  Also I think there are 2 or 3 types of profiles for this county</t>
  </si>
  <si>
    <r>
      <t>1)</t>
    </r>
    <r>
      <rPr>
        <sz val="7"/>
        <color theme="1"/>
        <rFont val="Times New Roman"/>
        <family val="1"/>
      </rPr>
      <t xml:space="preserve">      </t>
    </r>
    <r>
      <rPr>
        <sz val="11"/>
        <color theme="1"/>
        <rFont val="Calibri"/>
        <family val="2"/>
        <scheme val="minor"/>
      </rPr>
      <t>Natural gas composition</t>
    </r>
  </si>
  <si>
    <r>
      <t>2)</t>
    </r>
    <r>
      <rPr>
        <sz val="7"/>
        <color theme="1"/>
        <rFont val="Times New Roman"/>
        <family val="1"/>
      </rPr>
      <t xml:space="preserve">      </t>
    </r>
    <r>
      <rPr>
        <sz val="11"/>
        <color theme="1"/>
        <rFont val="Calibri"/>
        <family val="2"/>
        <scheme val="minor"/>
      </rPr>
      <t xml:space="preserve">Flash gas composition </t>
    </r>
  </si>
  <si>
    <r>
      <t>3)</t>
    </r>
    <r>
      <rPr>
        <sz val="7"/>
        <color theme="1"/>
        <rFont val="Times New Roman"/>
        <family val="1"/>
      </rPr>
      <t xml:space="preserve">      </t>
    </r>
    <r>
      <rPr>
        <sz val="11"/>
        <color theme="1"/>
        <rFont val="Calibri"/>
        <family val="2"/>
        <scheme val="minor"/>
      </rPr>
      <t>Gas liberated from separator water</t>
    </r>
  </si>
  <si>
    <t>I am not sure if  1 and 3 are the same thing.  – The flash gas has very small methane but the gas liberated from the separator water looks very much like the gas composition of the other extended analyses.  (compare  the 3 extended Fesco analyses in “PennEnergy Resources - Multiple Well Pads - pg 10,16, 27, &amp; 38.pdf”  to the C6+ in the same pdf—these are the Clinton TWP wells- W73, W74, W75 etc.).  However, the gas liberated from separator water has BTEX and the pad C6+ does not.  I will ask Charles.</t>
  </si>
  <si>
    <t>Findings: </t>
  </si>
  <si>
    <r>
      <t>1)</t>
    </r>
    <r>
      <rPr>
        <sz val="7"/>
        <color theme="1"/>
        <rFont val="Times New Roman"/>
        <family val="1"/>
      </rPr>
      <t xml:space="preserve">      </t>
    </r>
    <r>
      <rPr>
        <sz val="11"/>
        <color theme="1"/>
        <rFont val="Calibri"/>
        <family val="2"/>
        <scheme val="minor"/>
      </rPr>
      <t>Buffalo TWP:  HarveyPad – cant use, based on a different well</t>
    </r>
  </si>
  <si>
    <r>
      <t>2)</t>
    </r>
    <r>
      <rPr>
        <sz val="7"/>
        <color theme="1"/>
        <rFont val="Times New Roman"/>
        <family val="1"/>
      </rPr>
      <t xml:space="preserve">      </t>
    </r>
    <r>
      <rPr>
        <sz val="11"/>
        <color theme="1"/>
        <rFont val="Calibri"/>
        <family val="2"/>
        <scheme val="minor"/>
      </rPr>
      <t xml:space="preserve">Butler TWP: </t>
    </r>
  </si>
  <si>
    <r>
      <t>a.</t>
    </r>
    <r>
      <rPr>
        <sz val="7"/>
        <color theme="1"/>
        <rFont val="Times New Roman"/>
        <family val="1"/>
      </rPr>
      <t xml:space="preserve">       </t>
    </r>
    <r>
      <rPr>
        <sz val="11"/>
        <color theme="1"/>
        <rFont val="Calibri"/>
        <family val="2"/>
        <scheme val="minor"/>
      </rPr>
      <t>AK Steel C Pad – Can’t use. EPIC analysis (EPIC probably a company) does not list test method and looks like metered data.  There are 2 other documents for this pad in the XTO folder - “Natural Gas Composition Raw Data”  .  One document has composition data on the vapor from condensate tanks from the Tanks model.   I’d say we don’t use this. A description of the process: Associated gas from the well(s) at this facility flow into the separator(s) where any free liquids can be separated from the gas stream.  Prior to entering the initial separator(s), the stream will pass through a line heater(s) which heats the stream to prevent hydrate formation in the gas stream. The gas will be routed through a sales meter. The liquids (condensate and produced ater) are routed to their respected production storage tank where the liquids can be sold at a later time……</t>
    </r>
  </si>
  <si>
    <t>My guess is that the meter is what is producing the gas composition.  Therefore I think I would not use this sample.</t>
  </si>
  <si>
    <r>
      <t>b.</t>
    </r>
    <r>
      <rPr>
        <sz val="7"/>
        <color theme="1"/>
        <rFont val="Times New Roman"/>
        <family val="1"/>
      </rPr>
      <t xml:space="preserve">      </t>
    </r>
    <r>
      <rPr>
        <sz val="11"/>
        <color theme="1"/>
        <rFont val="Calibri"/>
        <family val="2"/>
        <scheme val="minor"/>
      </rPr>
      <t>Hinch Smith – Gas analytical services C6+ with no test method list for: 5H, 6H, 7H, 8H, 9H, 10HB.    Use but  speciate the C6+. IN ADDITION:  File called “XTO Energy - Hinch Smith - pg 26-31 - combine with other Hinch Smith 2</t>
    </r>
    <r>
      <rPr>
        <vertAlign val="superscript"/>
        <sz val="11"/>
        <color theme="1"/>
        <rFont val="Calibri"/>
        <family val="2"/>
        <scheme val="minor"/>
      </rPr>
      <t>nd</t>
    </r>
    <r>
      <rPr>
        <sz val="11"/>
        <color theme="1"/>
        <rFont val="Calibri"/>
        <family val="2"/>
        <scheme val="minor"/>
      </rPr>
      <t>. Pdf” which is in the folder “Natural Gas Composition Raw Data” has (see last page of PDF) an SPL analysis of “EOG Flash Gas Composition” that has BTEX.  That can be used to create a flash gas profile for Butler County.   I don’t know which SCC the flash gas profile should go to.  Condensate tank?  Recommend compositing all Hinch Smith C6+  after speciating 5H through 10H using the data for Cypher. (See item 3).  Then Hinch Smith composite can be used for butler county composite.</t>
    </r>
  </si>
  <si>
    <r>
      <t>c.</t>
    </r>
    <r>
      <rPr>
        <sz val="7"/>
        <color theme="1"/>
        <rFont val="Times New Roman"/>
        <family val="1"/>
      </rPr>
      <t xml:space="preserve">       </t>
    </r>
    <r>
      <rPr>
        <sz val="11"/>
        <color theme="1"/>
        <rFont val="Calibri"/>
        <family val="2"/>
        <scheme val="minor"/>
      </rPr>
      <t>LassingerPad – cant use based on different well</t>
    </r>
  </si>
  <si>
    <r>
      <t>3)</t>
    </r>
    <r>
      <rPr>
        <sz val="7"/>
        <color theme="1"/>
        <rFont val="Times New Roman"/>
        <family val="1"/>
      </rPr>
      <t xml:space="preserve">      </t>
    </r>
    <r>
      <rPr>
        <sz val="11"/>
        <color theme="1"/>
        <rFont val="Calibri"/>
        <family val="2"/>
        <scheme val="minor"/>
      </rPr>
      <t>Clearfield TWP:</t>
    </r>
  </si>
  <si>
    <r>
      <t>a.</t>
    </r>
    <r>
      <rPr>
        <sz val="7"/>
        <color theme="1"/>
        <rFont val="Times New Roman"/>
        <family val="1"/>
      </rPr>
      <t xml:space="preserve">       </t>
    </r>
    <r>
      <rPr>
        <sz val="11"/>
        <color theme="1"/>
        <rFont val="Calibri"/>
        <family val="2"/>
        <scheme val="minor"/>
      </rPr>
      <t>Cypher Pad A &amp; B – C6+ gas analysis for A1H to A5H and SPL extended for 5H which says 2286– can the SPL 5H  use this to speciate C6+.  B1H has extended with 2286.  Use that. Use all data and use the 2 extended to speciate the C6+ from the non-extended.  Make 1 composite for Cypher that could be used for Butler county composite.</t>
    </r>
  </si>
  <si>
    <r>
      <t>4)</t>
    </r>
    <r>
      <rPr>
        <sz val="7"/>
        <color theme="1"/>
        <rFont val="Times New Roman"/>
        <family val="1"/>
      </rPr>
      <t xml:space="preserve">      </t>
    </r>
    <r>
      <rPr>
        <sz val="11"/>
        <color theme="1"/>
        <rFont val="Calibri"/>
        <family val="2"/>
        <scheme val="minor"/>
      </rPr>
      <t>Clinton TWP:</t>
    </r>
  </si>
  <si>
    <r>
      <t>a.</t>
    </r>
    <r>
      <rPr>
        <sz val="7"/>
        <color theme="1"/>
        <rFont val="Times New Roman"/>
        <family val="1"/>
      </rPr>
      <t xml:space="preserve">       </t>
    </r>
    <r>
      <rPr>
        <sz val="11"/>
        <color theme="1"/>
        <rFont val="Calibri"/>
        <family val="2"/>
        <scheme val="minor"/>
      </rPr>
      <t>“PennEnergy Resources - Multiple Well Pads - pg 10,16, 27, &amp; 38.pdf” which is in the folder “Natural Gas Composition Raw Data”  has 3 extended 2286 analyses (FESCO) for “Gas liberated from Separator Water”:  1) W73 – 2H on page 21.  2)  W73 4H- on page 32.  3) On page 43 same thing but for W75 1H.  Assume gas liberated from separator water is  raw gas based on comparing the compositions of these extended analyses with the C6+ .   Not sure if we should use the C6+ from Pad W73 , 74, 75, 77 and 78 pdfs in the Clinton folder because they say “Pad” – however, there is no dehydrator on the site so maybe it makes sense to use or to keep the 2 profiles separate (gas liberated from water vs just the Pad gas composition). Not sure on this one.</t>
    </r>
  </si>
  <si>
    <r>
      <t>5)</t>
    </r>
    <r>
      <rPr>
        <sz val="7"/>
        <color theme="1"/>
        <rFont val="Times New Roman"/>
        <family val="1"/>
      </rPr>
      <t xml:space="preserve">      </t>
    </r>
    <r>
      <rPr>
        <sz val="11"/>
        <color theme="1"/>
        <rFont val="Calibri"/>
        <family val="2"/>
        <scheme val="minor"/>
      </rPr>
      <t>Connoquenessing</t>
    </r>
  </si>
  <si>
    <r>
      <t>a.</t>
    </r>
    <r>
      <rPr>
        <sz val="7"/>
        <color theme="1"/>
        <rFont val="Times New Roman"/>
        <family val="1"/>
      </rPr>
      <t xml:space="preserve">       </t>
    </r>
    <r>
      <rPr>
        <sz val="11"/>
        <color theme="1"/>
        <rFont val="Calibri"/>
        <family val="2"/>
        <scheme val="minor"/>
      </rPr>
      <t>Patton Well Pad – do not use the table.  This is a Pad – post processed analysis</t>
    </r>
  </si>
  <si>
    <r>
      <t>6)</t>
    </r>
    <r>
      <rPr>
        <sz val="7"/>
        <color theme="1"/>
        <rFont val="Times New Roman"/>
        <family val="1"/>
      </rPr>
      <t xml:space="preserve">      </t>
    </r>
    <r>
      <rPr>
        <sz val="11"/>
        <color theme="1"/>
        <rFont val="Calibri"/>
        <family val="2"/>
        <scheme val="minor"/>
      </rPr>
      <t>Forward</t>
    </r>
  </si>
  <si>
    <r>
      <t>a.</t>
    </r>
    <r>
      <rPr>
        <sz val="7"/>
        <color theme="1"/>
        <rFont val="Times New Roman"/>
        <family val="1"/>
      </rPr>
      <t xml:space="preserve">       </t>
    </r>
    <r>
      <rPr>
        <sz val="11"/>
        <color theme="1"/>
        <rFont val="Calibri"/>
        <family val="2"/>
        <scheme val="minor"/>
      </rPr>
      <t>Gaw, Edward R – cant use based on different well</t>
    </r>
  </si>
  <si>
    <r>
      <t>b.</t>
    </r>
    <r>
      <rPr>
        <sz val="7"/>
        <color theme="1"/>
        <rFont val="Times New Roman"/>
        <family val="1"/>
      </rPr>
      <t xml:space="preserve">      </t>
    </r>
    <r>
      <rPr>
        <sz val="11"/>
        <color theme="1"/>
        <rFont val="Calibri"/>
        <family val="2"/>
        <scheme val="minor"/>
      </rPr>
      <t>Gill – same as Gaw</t>
    </r>
  </si>
  <si>
    <r>
      <t>c.</t>
    </r>
    <r>
      <rPr>
        <sz val="7"/>
        <color theme="1"/>
        <rFont val="Times New Roman"/>
        <family val="1"/>
      </rPr>
      <t xml:space="preserve">       </t>
    </r>
    <r>
      <rPr>
        <sz val="11"/>
        <color theme="1"/>
        <rFont val="Calibri"/>
        <family val="2"/>
        <scheme val="minor"/>
      </rPr>
      <t>Hixon page 5 (6HB)  is a GPA 2286 SPL extended.   Use it. Don’t use the EPIC.  EPIC appears  to be missing species.</t>
    </r>
  </si>
  <si>
    <r>
      <t>d.</t>
    </r>
    <r>
      <rPr>
        <sz val="7"/>
        <color theme="1"/>
        <rFont val="Times New Roman"/>
        <family val="1"/>
      </rPr>
      <t xml:space="preserve">      </t>
    </r>
    <r>
      <rPr>
        <sz val="11"/>
        <color theme="1"/>
        <rFont val="Calibri"/>
        <family val="2"/>
        <scheme val="minor"/>
      </rPr>
      <t>Marburger – same as Gaw</t>
    </r>
  </si>
  <si>
    <r>
      <t>e.</t>
    </r>
    <r>
      <rPr>
        <sz val="7"/>
        <color theme="1"/>
        <rFont val="Times New Roman"/>
        <family val="1"/>
      </rPr>
      <t xml:space="preserve">      </t>
    </r>
    <r>
      <rPr>
        <sz val="11"/>
        <color theme="1"/>
        <rFont val="Calibri"/>
        <family val="2"/>
        <scheme val="minor"/>
      </rPr>
      <t>Merten – same as Gaw</t>
    </r>
  </si>
  <si>
    <r>
      <t>f.</t>
    </r>
    <r>
      <rPr>
        <sz val="7"/>
        <color theme="1"/>
        <rFont val="Times New Roman"/>
        <family val="1"/>
      </rPr>
      <t xml:space="preserve">        </t>
    </r>
    <r>
      <rPr>
        <sz val="11"/>
        <color theme="1"/>
        <rFont val="Calibri"/>
        <family val="2"/>
        <scheme val="minor"/>
      </rPr>
      <t>Rutlegde – sam as Gaw</t>
    </r>
  </si>
  <si>
    <r>
      <t>7)</t>
    </r>
    <r>
      <rPr>
        <sz val="7"/>
        <color theme="1"/>
        <rFont val="Times New Roman"/>
        <family val="1"/>
      </rPr>
      <t xml:space="preserve">      </t>
    </r>
    <r>
      <rPr>
        <sz val="11"/>
        <color theme="1"/>
        <rFont val="Calibri"/>
        <family val="2"/>
        <scheme val="minor"/>
      </rPr>
      <t>Jefferson</t>
    </r>
  </si>
  <si>
    <r>
      <t>a.</t>
    </r>
    <r>
      <rPr>
        <sz val="7"/>
        <color theme="1"/>
        <rFont val="Times New Roman"/>
        <family val="1"/>
      </rPr>
      <t xml:space="preserve">       </t>
    </r>
    <r>
      <rPr>
        <sz val="11"/>
        <color theme="1"/>
        <rFont val="Calibri"/>
        <family val="2"/>
        <scheme val="minor"/>
      </rPr>
      <t>Beilstein C – use SPL extended 2286 on page 5 of the PDF.  Don’t use anything else</t>
    </r>
  </si>
  <si>
    <r>
      <t>b.</t>
    </r>
    <r>
      <rPr>
        <sz val="7"/>
        <color theme="1"/>
        <rFont val="Times New Roman"/>
        <family val="1"/>
      </rPr>
      <t xml:space="preserve">      </t>
    </r>
    <r>
      <rPr>
        <sz val="11"/>
        <color theme="1"/>
        <rFont val="Calibri"/>
        <family val="2"/>
        <scheme val="minor"/>
      </rPr>
      <t>Foertsch – cant use based on different well</t>
    </r>
  </si>
  <si>
    <r>
      <t>c.</t>
    </r>
    <r>
      <rPr>
        <sz val="7"/>
        <color theme="1"/>
        <rFont val="Times New Roman"/>
        <family val="1"/>
      </rPr>
      <t xml:space="preserve">       </t>
    </r>
    <r>
      <rPr>
        <sz val="11"/>
        <color theme="1"/>
        <rFont val="Calibri"/>
        <family val="2"/>
        <scheme val="minor"/>
      </rPr>
      <t>Smith – same as Foertsch</t>
    </r>
  </si>
  <si>
    <r>
      <t>d.</t>
    </r>
    <r>
      <rPr>
        <sz val="7"/>
        <color theme="1"/>
        <rFont val="Times New Roman"/>
        <family val="1"/>
      </rPr>
      <t xml:space="preserve">      </t>
    </r>
    <r>
      <rPr>
        <sz val="11"/>
        <color theme="1"/>
        <rFont val="Calibri"/>
        <family val="2"/>
        <scheme val="minor"/>
      </rPr>
      <t>Veselich B – use SPL extended</t>
    </r>
  </si>
  <si>
    <r>
      <t>e.</t>
    </r>
    <r>
      <rPr>
        <sz val="7"/>
        <color theme="1"/>
        <rFont val="Times New Roman"/>
        <family val="1"/>
      </rPr>
      <t xml:space="preserve">      </t>
    </r>
    <r>
      <rPr>
        <sz val="11"/>
        <color theme="1"/>
        <rFont val="Calibri"/>
        <family val="2"/>
        <scheme val="minor"/>
      </rPr>
      <t>Zackerl – cant use</t>
    </r>
  </si>
  <si>
    <r>
      <t>8)</t>
    </r>
    <r>
      <rPr>
        <sz val="7"/>
        <color theme="1"/>
        <rFont val="Times New Roman"/>
        <family val="1"/>
      </rPr>
      <t xml:space="preserve">      </t>
    </r>
    <r>
      <rPr>
        <sz val="11"/>
        <color theme="1"/>
        <rFont val="Calibri"/>
        <family val="2"/>
        <scheme val="minor"/>
      </rPr>
      <t>Oakland</t>
    </r>
  </si>
  <si>
    <r>
      <t>a.</t>
    </r>
    <r>
      <rPr>
        <sz val="7"/>
        <color theme="1"/>
        <rFont val="Times New Roman"/>
        <family val="1"/>
      </rPr>
      <t xml:space="preserve">       </t>
    </r>
    <r>
      <rPr>
        <sz val="11"/>
        <color theme="1"/>
        <rFont val="Calibri"/>
        <family val="2"/>
        <scheme val="minor"/>
      </rPr>
      <t>Clouse 6+ use – 2H, 3H, 4H, 5H, 6H, and 1H – speciate C6+ using average of Hixon, Cypher.  1 composite to use for a butler composite</t>
    </r>
  </si>
  <si>
    <r>
      <t>9)</t>
    </r>
    <r>
      <rPr>
        <sz val="7"/>
        <color theme="1"/>
        <rFont val="Times New Roman"/>
        <family val="1"/>
      </rPr>
      <t xml:space="preserve">      </t>
    </r>
    <r>
      <rPr>
        <sz val="11"/>
        <color theme="1"/>
        <rFont val="Calibri"/>
        <family val="2"/>
        <scheme val="minor"/>
      </rPr>
      <t>Penn</t>
    </r>
  </si>
  <si>
    <r>
      <t>a.</t>
    </r>
    <r>
      <rPr>
        <sz val="7"/>
        <color theme="1"/>
        <rFont val="Times New Roman"/>
        <family val="1"/>
      </rPr>
      <t xml:space="preserve">       </t>
    </r>
    <r>
      <rPr>
        <sz val="11"/>
        <color theme="1"/>
        <rFont val="Calibri"/>
        <family val="2"/>
        <scheme val="minor"/>
      </rPr>
      <t>Godfrey- cant use based on different well</t>
    </r>
  </si>
  <si>
    <r>
      <t>b.</t>
    </r>
    <r>
      <rPr>
        <sz val="7"/>
        <color theme="1"/>
        <rFont val="Times New Roman"/>
        <family val="1"/>
      </rPr>
      <t xml:space="preserve">      </t>
    </r>
    <r>
      <rPr>
        <sz val="11"/>
        <color theme="1"/>
        <rFont val="Calibri"/>
        <family val="2"/>
        <scheme val="minor"/>
      </rPr>
      <t>Holy Trinity – same as Godfrey</t>
    </r>
  </si>
  <si>
    <r>
      <t>10)</t>
    </r>
    <r>
      <rPr>
        <sz val="7"/>
        <color theme="1"/>
        <rFont val="Times New Roman"/>
        <family val="1"/>
      </rPr>
      <t xml:space="preserve">   </t>
    </r>
    <r>
      <rPr>
        <sz val="11"/>
        <color theme="1"/>
        <rFont val="Calibri"/>
        <family val="2"/>
        <scheme val="minor"/>
      </rPr>
      <t>Summit</t>
    </r>
  </si>
  <si>
    <r>
      <t>a.</t>
    </r>
    <r>
      <rPr>
        <sz val="7"/>
        <color theme="1"/>
        <rFont val="Times New Roman"/>
        <family val="1"/>
      </rPr>
      <t xml:space="preserve">       </t>
    </r>
    <r>
      <rPr>
        <sz val="11"/>
        <color theme="1"/>
        <rFont val="Calibri"/>
        <family val="2"/>
        <scheme val="minor"/>
      </rPr>
      <t>Ambrose – EPIC.  This is a dry gas pad with no liquied condensate. But Epic has only the alkanes.  If we use EPIC here we’d have to use it for the other wells.  So don’t use it.</t>
    </r>
  </si>
  <si>
    <r>
      <t>b.</t>
    </r>
    <r>
      <rPr>
        <sz val="7"/>
        <color theme="1"/>
        <rFont val="Times New Roman"/>
        <family val="1"/>
      </rPr>
      <t xml:space="preserve">      </t>
    </r>
    <r>
      <rPr>
        <sz val="11"/>
        <color theme="1"/>
        <rFont val="Calibri"/>
        <family val="2"/>
        <scheme val="minor"/>
      </rPr>
      <t>Dreher – SPL extended 2286 for A #1H– use this.  No gas analysis for A 2H</t>
    </r>
  </si>
  <si>
    <r>
      <t>c.</t>
    </r>
    <r>
      <rPr>
        <sz val="7"/>
        <color theme="1"/>
        <rFont val="Times New Roman"/>
        <family val="1"/>
      </rPr>
      <t xml:space="preserve">       </t>
    </r>
    <r>
      <rPr>
        <sz val="11"/>
        <color theme="1"/>
        <rFont val="Calibri"/>
        <family val="2"/>
        <scheme val="minor"/>
      </rPr>
      <t>Geibel -  SPL extended 2286 for 3H—use this</t>
    </r>
  </si>
  <si>
    <r>
      <t>d.</t>
    </r>
    <r>
      <rPr>
        <sz val="7"/>
        <color theme="1"/>
        <rFont val="Times New Roman"/>
        <family val="1"/>
      </rPr>
      <t xml:space="preserve">      </t>
    </r>
    <r>
      <rPr>
        <sz val="11"/>
        <color theme="1"/>
        <rFont val="Calibri"/>
        <family val="2"/>
        <scheme val="minor"/>
      </rPr>
      <t>Healsey Nurseries– EOS flash gas composition.  Do not know what is EOS.  I think this could be composited with the other flash and water separator gas.  This is an extended analysis but it doesn’t say 2286</t>
    </r>
  </si>
  <si>
    <r>
      <t>e.</t>
    </r>
    <r>
      <rPr>
        <sz val="7"/>
        <color theme="1"/>
        <rFont val="Times New Roman"/>
        <family val="1"/>
      </rPr>
      <t xml:space="preserve">      </t>
    </r>
    <r>
      <rPr>
        <sz val="11"/>
        <color theme="1"/>
        <rFont val="Calibri"/>
        <family val="2"/>
        <scheme val="minor"/>
      </rPr>
      <t>Kozik brothers– cant use based on different well</t>
    </r>
  </si>
  <si>
    <r>
      <t>f.</t>
    </r>
    <r>
      <rPr>
        <sz val="7"/>
        <color theme="1"/>
        <rFont val="Times New Roman"/>
        <family val="1"/>
      </rPr>
      <t xml:space="preserve">        </t>
    </r>
    <r>
      <rPr>
        <sz val="11"/>
        <color theme="1"/>
        <rFont val="Calibri"/>
        <family val="2"/>
        <scheme val="minor"/>
      </rPr>
      <t>Salvatora – same as Kozik</t>
    </r>
  </si>
  <si>
    <r>
      <t>11)</t>
    </r>
    <r>
      <rPr>
        <sz val="7"/>
        <color theme="1"/>
        <rFont val="Times New Roman"/>
        <family val="1"/>
      </rPr>
      <t xml:space="preserve">   </t>
    </r>
    <r>
      <rPr>
        <sz val="11"/>
        <color theme="1"/>
        <rFont val="Calibri"/>
        <family val="2"/>
        <scheme val="minor"/>
      </rPr>
      <t>Winfield</t>
    </r>
  </si>
  <si>
    <t>Pad W23-1H  C6+ use this but speciate C6+</t>
  </si>
  <si>
    <t>Note 2: Columns AT-BK are to calcluate breakout ratios for Hexane plus in the Liberty Well composite.</t>
  </si>
  <si>
    <t>Note 3: The breakout ratios (for Liberty Well C6+) are based on all other profiles in Greene County.</t>
  </si>
  <si>
    <t>Note1 : Columns AA-AR are to calculate an average profile for Liberty Well which has 16 tests.</t>
  </si>
  <si>
    <t>Note 4: The original mol% in S27/28 was 0.322% that represents the sum of n-hexane and other hexanes. It is split in half (0.161%) for n-hexane and other hexanes, respectively.</t>
  </si>
  <si>
    <t>Note 1: this tab was provided by Art and Madeleine who selected original test data (i.e. not referenced from other wells).</t>
  </si>
  <si>
    <t>Note 2: the C6+ group was further speciated out based on the calculated breakout ratios in the "Molecular Weights" tab in this workbook provided by Art. The extended analysis data are from Washington County.</t>
  </si>
  <si>
    <t>Column AI provides the breakout ratios for hexane+ for those well test reports with a lumped C6+ group in Washington County.</t>
  </si>
  <si>
    <t>This composite profile represents natural gas wells in Greene County, Pennsylvania.  It is based on 9 individual profiles in this county that were submitted to Pennsylvania Department of Environmental Protection. One of the individual profiles (Liberty Well) is a mean of 16 consecutive tests that lumped C6+ compounds (0.0006%) together. This C6+ group is further assigned the proportions of individual compounds from the average of other tests in Greene County that have extended analysis.</t>
  </si>
  <si>
    <t>This composite profile represents natural gas wells in Butler County, Pennsylvania.  It is based on 35 individual profiles in this county that were submitted to Pennsylvania Department of Environmental Protection.  The C6+ group is further assigned the proportions of individual compounds from the mean of other tests in Butler County that have extended analysis.</t>
  </si>
  <si>
    <t>This composite profile represents natural gas wells in Washtington County, Pennsylvania.  It is based on 18 individual profiles in this county that were submitted to Pennsylvania Department of Environmental Protection.  The C6+ group is further assigned the proportions of individual compounds from the mean of other tests in Washtington County that have extended analysis.</t>
  </si>
  <si>
    <t>PAGAS01</t>
  </si>
  <si>
    <t>PAGAS02</t>
  </si>
  <si>
    <t>PAGAS03</t>
  </si>
  <si>
    <t>Oil and Gas-Produced Gas Composition from Gas Wells-Greene Co, PA</t>
  </si>
  <si>
    <t>Oil and Gas-Produced Gas Composition from Gas Wells-Butler Co, PA</t>
  </si>
  <si>
    <t>Oil and Gas-Produced Gas Composition from Gas Wells-Washington Co, PA</t>
  </si>
  <si>
    <t>Yes</t>
  </si>
  <si>
    <t>PDF file name</t>
  </si>
  <si>
    <t>Adams RHL 13 Pad</t>
  </si>
  <si>
    <t>Braddock RHL 99 Pad</t>
  </si>
  <si>
    <t>Silver Fox Farms RHL71 Pad</t>
  </si>
  <si>
    <t>Sum</t>
  </si>
  <si>
    <t>Note 1: Columns CD-EE are original profiles with lumped hexanes through BTEX.</t>
  </si>
  <si>
    <t>Note 2: The lumped hexanes to BTEX breakout ratios are calculated based on Columns E-S.</t>
  </si>
  <si>
    <t>Note 3: The lumped hexanes to BTEX in Coulmns U-BU are speciated based on the calculated breakout ratios in CC27 - CC37.</t>
  </si>
  <si>
    <t>Fair</t>
  </si>
  <si>
    <t>Strum2020b</t>
  </si>
  <si>
    <t>Approach for developing county specific gas composition profiles using data provided by PADEP</t>
  </si>
  <si>
    <t>ftp://newftp.epa.gov/air/emismod/SPECIATE_supportingdata/v5_1/PA Natural Gas Wells - Boritz - 6-7-2020.xlsx</t>
  </si>
  <si>
    <t xml:space="preserve">Madeleine Strum, EPA/OAQPS/Air Quality Assessment Division/Emissions Inventory and Analysis Group.  Documentation on the SPECIATE5.1 Pennsylvania county-specific oil &amp; gas related Speciation Profiles. June 8, 2020. Located in Documentation tab in workbook. </t>
  </si>
  <si>
    <t>QSCORE-PAOILGAS2020</t>
  </si>
  <si>
    <t>ftp://newftp.epa.gov/air/emismod/SPECIATE_supportingdata/v5_1/QSCORE-PAOILGAS2020.docx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</si>
</sst>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0%"/>
    <numFmt numFmtId="165" formatCode="0.00000"/>
    <numFmt numFmtId="166" formatCode="0.0000"/>
    <numFmt numFmtId="167" formatCode="0.000000%"/>
    <numFmt numFmtId="168" formatCode="0.00000%"/>
    <numFmt numFmtId="169" formatCode="0.000000"/>
  </numFmts>
  <fonts count="41" x14ac:knownFonts="1">
    <font>
      <sz val="11"/>
      <color theme="1"/>
      <name val="Calibri"/>
      <family val="2"/>
      <scheme val="minor"/>
    </font>
    <font>
      <sz val="11"/>
      <name val="Calibri"/>
      <family val="2"/>
      <scheme val="minor"/>
    </font>
    <font>
      <sz val="11"/>
      <color rgb="FFFF0000"/>
      <name val="Calibri"/>
      <family val="2"/>
      <scheme val="minor"/>
    </font>
    <font>
      <b/>
      <sz val="11"/>
      <color rgb="FFFF0000"/>
      <name val="Calibri"/>
      <family val="2"/>
      <scheme val="minor"/>
    </font>
    <font>
      <b/>
      <sz val="11"/>
      <color rgb="FF000000"/>
      <name val="Calibri"/>
      <family val="2"/>
    </font>
    <font>
      <sz val="10"/>
      <color indexed="8"/>
      <name val="Arial"/>
      <family val="2"/>
    </font>
    <font>
      <b/>
      <sz val="11"/>
      <color indexed="8"/>
      <name val="Calibri"/>
      <family val="2"/>
    </font>
    <font>
      <sz val="10"/>
      <color indexed="8"/>
      <name val="Arial"/>
      <family val="2"/>
    </font>
    <font>
      <sz val="11"/>
      <color indexed="8"/>
      <name val="Calibri"/>
      <family val="2"/>
    </font>
    <font>
      <b/>
      <sz val="10"/>
      <color rgb="FF000000"/>
      <name val="Arial"/>
      <family val="2"/>
    </font>
    <font>
      <b/>
      <sz val="10"/>
      <color indexed="8"/>
      <name val="Arial"/>
      <family val="2"/>
    </font>
    <font>
      <strike/>
      <sz val="11"/>
      <color theme="1"/>
      <name val="Calibri"/>
      <family val="2"/>
      <scheme val="minor"/>
    </font>
    <font>
      <sz val="11"/>
      <color rgb="FF000000"/>
      <name val="Calibri"/>
      <family val="2"/>
      <scheme val="minor"/>
    </font>
    <font>
      <b/>
      <sz val="10"/>
      <color theme="1"/>
      <name val="Times New Roman"/>
      <family val="1"/>
    </font>
    <font>
      <b/>
      <sz val="11"/>
      <color theme="1"/>
      <name val="Times New Roman"/>
      <family val="1"/>
    </font>
    <font>
      <strike/>
      <sz val="10"/>
      <name val="Times New Roman"/>
      <family val="1"/>
    </font>
    <font>
      <sz val="10"/>
      <name val="Times New Roman"/>
      <family val="1"/>
    </font>
    <font>
      <b/>
      <i/>
      <sz val="10"/>
      <color theme="1"/>
      <name val="Times New Roman"/>
      <family val="1"/>
    </font>
    <font>
      <b/>
      <sz val="10"/>
      <color theme="4"/>
      <name val="Times New Roman"/>
      <family val="1"/>
    </font>
    <font>
      <sz val="10"/>
      <color theme="4" tint="0.59999389629810485"/>
      <name val="Times New Roman"/>
      <family val="1"/>
    </font>
    <font>
      <sz val="10"/>
      <color theme="2" tint="-0.249977111117893"/>
      <name val="Times New Roman"/>
      <family val="1"/>
    </font>
    <font>
      <b/>
      <sz val="10"/>
      <name val="Times New Roman"/>
      <family val="1"/>
    </font>
    <font>
      <sz val="11"/>
      <color theme="1"/>
      <name val="Calibri"/>
      <family val="2"/>
      <scheme val="minor"/>
    </font>
    <font>
      <b/>
      <sz val="11"/>
      <color theme="1"/>
      <name val="Calibri"/>
      <family val="2"/>
      <scheme val="minor"/>
    </font>
    <font>
      <b/>
      <sz val="10"/>
      <color theme="8" tint="-0.249977111117893"/>
      <name val="Times New Roman"/>
      <family val="1"/>
    </font>
    <font>
      <sz val="10"/>
      <color theme="8" tint="-0.249977111117893"/>
      <name val="Times New Roman"/>
      <family val="1"/>
    </font>
    <font>
      <b/>
      <i/>
      <sz val="11"/>
      <color theme="1"/>
      <name val="Calibri"/>
      <family val="2"/>
      <scheme val="minor"/>
    </font>
    <font>
      <b/>
      <i/>
      <sz val="11"/>
      <color theme="2" tint="-9.9978637043366805E-2"/>
      <name val="Calibri"/>
      <family val="2"/>
      <scheme val="minor"/>
    </font>
    <font>
      <sz val="11"/>
      <color theme="2" tint="-9.9978637043366805E-2"/>
      <name val="Calibri"/>
      <family val="2"/>
      <scheme val="minor"/>
    </font>
    <font>
      <sz val="10"/>
      <color theme="1"/>
      <name val="Times New Roman"/>
      <family val="1"/>
    </font>
    <font>
      <b/>
      <sz val="10"/>
      <color rgb="FF000000"/>
      <name val="Times New Roman"/>
      <family val="1"/>
    </font>
    <font>
      <sz val="10"/>
      <color rgb="FFAEAAAA"/>
      <name val="Times New Roman"/>
      <family val="1"/>
    </font>
    <font>
      <b/>
      <sz val="10"/>
      <color theme="2" tint="-9.9978637043366805E-2"/>
      <name val="Times New Roman"/>
      <family val="1"/>
    </font>
    <font>
      <b/>
      <sz val="10"/>
      <color rgb="FFFF0000"/>
      <name val="Times New Roman"/>
      <family val="1"/>
    </font>
    <font>
      <b/>
      <sz val="10"/>
      <color rgb="FF9C6500"/>
      <name val="Calibri"/>
      <family val="2"/>
      <scheme val="minor"/>
    </font>
    <font>
      <sz val="10"/>
      <color rgb="FF000000"/>
      <name val="Calibri"/>
      <family val="2"/>
      <scheme val="minor"/>
    </font>
    <font>
      <sz val="12"/>
      <color theme="1"/>
      <name val="Times New Roman"/>
      <family val="1"/>
    </font>
    <font>
      <sz val="7"/>
      <color theme="1"/>
      <name val="Times New Roman"/>
      <family val="1"/>
    </font>
    <font>
      <u/>
      <sz val="11"/>
      <color theme="1"/>
      <name val="Calibri"/>
      <family val="2"/>
      <scheme val="minor"/>
    </font>
    <font>
      <vertAlign val="superscript"/>
      <sz val="11"/>
      <color theme="1"/>
      <name val="Calibri"/>
      <family val="2"/>
      <scheme val="minor"/>
    </font>
    <font>
      <u/>
      <sz val="11"/>
      <color theme="10"/>
      <name val="Calibri"/>
      <family val="2"/>
      <scheme val="minor"/>
    </font>
  </fonts>
  <fills count="18">
    <fill>
      <patternFill patternType="none"/>
    </fill>
    <fill>
      <patternFill patternType="gray125"/>
    </fill>
    <fill>
      <patternFill patternType="solid">
        <fgColor rgb="FFFFFF00"/>
        <bgColor indexed="64"/>
      </patternFill>
    </fill>
    <fill>
      <patternFill patternType="solid">
        <fgColor rgb="FFC0C0C0"/>
        <bgColor rgb="FFC0C0C0"/>
      </patternFill>
    </fill>
    <fill>
      <patternFill patternType="solid">
        <fgColor indexed="22"/>
        <bgColor indexed="0"/>
      </patternFill>
    </fill>
    <fill>
      <patternFill patternType="solid">
        <fgColor rgb="FFFF0000"/>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rgb="FFEFBAFE"/>
        <bgColor indexed="64"/>
      </patternFill>
    </fill>
    <fill>
      <patternFill patternType="solid">
        <fgColor theme="7" tint="0.39997558519241921"/>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rgb="FFFFE699"/>
        <bgColor indexed="64"/>
      </patternFill>
    </fill>
    <fill>
      <patternFill patternType="solid">
        <fgColor theme="0"/>
        <bgColor indexed="64"/>
      </patternFill>
    </fill>
  </fills>
  <borders count="8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thin">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style="medium">
        <color indexed="64"/>
      </left>
      <right/>
      <top/>
      <bottom style="medium">
        <color indexed="64"/>
      </bottom>
      <diagonal/>
    </border>
  </borders>
  <cellStyleXfs count="9">
    <xf numFmtId="0" fontId="0" fillId="0" borderId="0"/>
    <xf numFmtId="0" fontId="5" fillId="0" borderId="0"/>
    <xf numFmtId="0" fontId="7" fillId="0" borderId="0"/>
    <xf numFmtId="0" fontId="5" fillId="0" borderId="0"/>
    <xf numFmtId="0" fontId="5" fillId="0" borderId="0"/>
    <xf numFmtId="0" fontId="7" fillId="0" borderId="0"/>
    <xf numFmtId="0" fontId="5" fillId="0" borderId="0"/>
    <xf numFmtId="9" fontId="22" fillId="0" borderId="0" applyFont="0" applyFill="0" applyBorder="0" applyAlignment="0" applyProtection="0"/>
    <xf numFmtId="0" fontId="40" fillId="0" borderId="0" applyNumberFormat="0" applyFill="0" applyBorder="0" applyAlignment="0" applyProtection="0"/>
  </cellStyleXfs>
  <cellXfs count="511">
    <xf numFmtId="0" fontId="0" fillId="0" borderId="0" xfId="0"/>
    <xf numFmtId="0" fontId="0" fillId="2" borderId="0" xfId="0" applyFill="1"/>
    <xf numFmtId="0" fontId="3" fillId="2" borderId="0" xfId="0" applyFont="1" applyFill="1"/>
    <xf numFmtId="0" fontId="0" fillId="0" borderId="0" xfId="0" applyAlignment="1"/>
    <xf numFmtId="0" fontId="4" fillId="3" borderId="1" xfId="0" applyFont="1" applyFill="1" applyBorder="1" applyAlignment="1" applyProtection="1">
      <alignment horizontal="left" vertical="center"/>
    </xf>
    <xf numFmtId="0" fontId="4" fillId="3" borderId="1" xfId="0" applyFont="1" applyFill="1" applyBorder="1" applyAlignment="1" applyProtection="1">
      <alignment horizontal="center" vertical="center"/>
    </xf>
    <xf numFmtId="0" fontId="6" fillId="4" borderId="2" xfId="1" applyFont="1" applyFill="1" applyBorder="1" applyAlignment="1">
      <alignment horizontal="center"/>
    </xf>
    <xf numFmtId="0" fontId="8" fillId="4" borderId="2" xfId="2" applyFont="1" applyFill="1" applyBorder="1" applyAlignment="1">
      <alignment horizontal="center"/>
    </xf>
    <xf numFmtId="0" fontId="9" fillId="3" borderId="1" xfId="0" applyFont="1" applyFill="1" applyBorder="1" applyAlignment="1" applyProtection="1">
      <alignment horizontal="left" vertical="center"/>
    </xf>
    <xf numFmtId="0" fontId="10" fillId="4" borderId="2" xfId="3" applyFont="1" applyFill="1" applyBorder="1" applyAlignment="1">
      <alignment horizontal="left"/>
    </xf>
    <xf numFmtId="0" fontId="0" fillId="0" borderId="0" xfId="0" applyAlignment="1">
      <alignment horizontal="left"/>
    </xf>
    <xf numFmtId="0" fontId="6" fillId="4" borderId="2" xfId="4" applyFont="1" applyFill="1" applyBorder="1" applyAlignment="1">
      <alignment horizontal="center"/>
    </xf>
    <xf numFmtId="0" fontId="6" fillId="4" borderId="2" xfId="5" applyFont="1" applyFill="1" applyBorder="1" applyAlignment="1">
      <alignment horizontal="center"/>
    </xf>
    <xf numFmtId="0" fontId="11" fillId="0" borderId="0" xfId="0" applyFont="1"/>
    <xf numFmtId="14" fontId="0" fillId="0" borderId="0" xfId="0" applyNumberFormat="1" applyAlignment="1"/>
    <xf numFmtId="0" fontId="0" fillId="2" borderId="0" xfId="0" applyFill="1" applyAlignment="1"/>
    <xf numFmtId="0" fontId="0" fillId="0" borderId="0" xfId="0" applyFill="1" applyAlignment="1"/>
    <xf numFmtId="0" fontId="0" fillId="0" borderId="0" xfId="0"/>
    <xf numFmtId="2" fontId="0" fillId="0" borderId="0" xfId="0" applyNumberFormat="1"/>
    <xf numFmtId="0" fontId="6" fillId="4" borderId="2" xfId="6" applyFont="1" applyFill="1" applyBorder="1" applyAlignment="1">
      <alignment horizontal="center"/>
    </xf>
    <xf numFmtId="0" fontId="0" fillId="0" borderId="0" xfId="0" applyFont="1"/>
    <xf numFmtId="0" fontId="12" fillId="0" borderId="0" xfId="0" applyFont="1" applyFill="1" applyAlignment="1"/>
    <xf numFmtId="0" fontId="0" fillId="0" borderId="0" xfId="0" applyAlignment="1">
      <alignment horizontal="right"/>
    </xf>
    <xf numFmtId="0" fontId="13" fillId="6" borderId="3" xfId="0" applyFont="1" applyFill="1" applyBorder="1" applyAlignment="1">
      <alignment wrapText="1"/>
    </xf>
    <xf numFmtId="164" fontId="0" fillId="0" borderId="0" xfId="0" applyNumberFormat="1"/>
    <xf numFmtId="0" fontId="13" fillId="6" borderId="7" xfId="0" applyFont="1" applyFill="1" applyBorder="1" applyAlignment="1">
      <alignment wrapText="1"/>
    </xf>
    <xf numFmtId="0" fontId="13" fillId="6" borderId="11" xfId="0" applyFont="1" applyFill="1" applyBorder="1" applyAlignment="1">
      <alignment wrapText="1"/>
    </xf>
    <xf numFmtId="0" fontId="13" fillId="6" borderId="18" xfId="0" applyFont="1" applyFill="1" applyBorder="1" applyAlignment="1">
      <alignment wrapText="1"/>
    </xf>
    <xf numFmtId="0" fontId="13" fillId="6" borderId="22" xfId="0" applyFont="1" applyFill="1" applyBorder="1" applyAlignment="1">
      <alignment wrapText="1"/>
    </xf>
    <xf numFmtId="0" fontId="13" fillId="7" borderId="0" xfId="0" applyFont="1" applyFill="1" applyBorder="1" applyAlignment="1">
      <alignment horizontal="center" vertical="center" wrapText="1"/>
    </xf>
    <xf numFmtId="0" fontId="14" fillId="8" borderId="26" xfId="0" applyFont="1" applyFill="1" applyBorder="1" applyAlignment="1">
      <alignment horizontal="center"/>
    </xf>
    <xf numFmtId="164" fontId="14" fillId="8" borderId="27" xfId="0" applyNumberFormat="1" applyFont="1" applyFill="1" applyBorder="1" applyAlignment="1">
      <alignment horizontal="center" wrapText="1"/>
    </xf>
    <xf numFmtId="0" fontId="13" fillId="6" borderId="28" xfId="0" applyFont="1" applyFill="1" applyBorder="1" applyAlignment="1">
      <alignment wrapText="1"/>
    </xf>
    <xf numFmtId="0" fontId="13" fillId="7" borderId="29" xfId="0" applyFont="1" applyFill="1" applyBorder="1" applyAlignment="1">
      <alignment horizontal="center" vertical="center" wrapText="1"/>
    </xf>
    <xf numFmtId="0" fontId="13" fillId="7" borderId="30" xfId="0" applyFont="1" applyFill="1" applyBorder="1" applyAlignment="1">
      <alignment horizontal="center" vertical="center" wrapText="1"/>
    </xf>
    <xf numFmtId="0" fontId="13" fillId="7" borderId="31" xfId="0" applyFont="1" applyFill="1" applyBorder="1" applyAlignment="1">
      <alignment horizontal="center" vertical="center" wrapText="1"/>
    </xf>
    <xf numFmtId="0" fontId="13" fillId="8" borderId="32" xfId="0" applyFont="1" applyFill="1" applyBorder="1" applyAlignment="1">
      <alignment horizontal="center" vertical="center" wrapText="1"/>
    </xf>
    <xf numFmtId="164" fontId="13" fillId="8" borderId="33" xfId="0" applyNumberFormat="1" applyFont="1" applyFill="1" applyBorder="1" applyAlignment="1">
      <alignment horizontal="center" vertical="center" wrapText="1"/>
    </xf>
    <xf numFmtId="164" fontId="15" fillId="0" borderId="4" xfId="0" applyNumberFormat="1" applyFont="1" applyBorder="1" applyAlignment="1">
      <alignment horizontal="center" vertical="center"/>
    </xf>
    <xf numFmtId="164" fontId="15" fillId="0" borderId="5" xfId="0" applyNumberFormat="1" applyFont="1" applyBorder="1" applyAlignment="1">
      <alignment horizontal="center" vertical="center"/>
    </xf>
    <xf numFmtId="164" fontId="15" fillId="0" borderId="6" xfId="0" applyNumberFormat="1" applyFont="1" applyBorder="1" applyAlignment="1">
      <alignment horizontal="center" vertical="center"/>
    </xf>
    <xf numFmtId="164" fontId="15" fillId="0" borderId="8" xfId="0" applyNumberFormat="1" applyFont="1" applyBorder="1" applyAlignment="1">
      <alignment horizontal="center" vertical="center"/>
    </xf>
    <xf numFmtId="164" fontId="15" fillId="0" borderId="9" xfId="0" applyNumberFormat="1" applyFont="1" applyBorder="1" applyAlignment="1">
      <alignment horizontal="center" vertical="center"/>
    </xf>
    <xf numFmtId="164" fontId="15" fillId="0" borderId="10" xfId="0" applyNumberFormat="1" applyFont="1" applyBorder="1" applyAlignment="1">
      <alignment horizontal="center" vertical="center"/>
    </xf>
    <xf numFmtId="0" fontId="13" fillId="6" borderId="34" xfId="0" applyFont="1" applyFill="1" applyBorder="1" applyAlignment="1">
      <alignment wrapText="1"/>
    </xf>
    <xf numFmtId="164" fontId="15" fillId="0" borderId="35" xfId="0" applyNumberFormat="1" applyFont="1" applyBorder="1" applyAlignment="1">
      <alignment horizontal="center" vertical="center"/>
    </xf>
    <xf numFmtId="165" fontId="11" fillId="0" borderId="3" xfId="0" applyNumberFormat="1" applyFont="1" applyBorder="1"/>
    <xf numFmtId="165" fontId="11" fillId="0" borderId="7" xfId="0" applyNumberFormat="1" applyFont="1" applyBorder="1"/>
    <xf numFmtId="164" fontId="16" fillId="0" borderId="8" xfId="0" applyNumberFormat="1" applyFont="1" applyBorder="1" applyAlignment="1">
      <alignment horizontal="center" vertical="center"/>
    </xf>
    <xf numFmtId="164" fontId="16" fillId="0" borderId="9" xfId="0" applyNumberFormat="1" applyFont="1" applyBorder="1" applyAlignment="1">
      <alignment horizontal="center" vertical="center"/>
    </xf>
    <xf numFmtId="164" fontId="16" fillId="0" borderId="10" xfId="0" applyNumberFormat="1" applyFont="1" applyBorder="1" applyAlignment="1">
      <alignment horizontal="center" vertical="center"/>
    </xf>
    <xf numFmtId="164" fontId="16" fillId="0" borderId="35" xfId="0" applyNumberFormat="1" applyFont="1" applyBorder="1" applyAlignment="1">
      <alignment horizontal="center" vertical="center"/>
    </xf>
    <xf numFmtId="165" fontId="0" fillId="0" borderId="7" xfId="0" applyNumberFormat="1" applyBorder="1"/>
    <xf numFmtId="0" fontId="0" fillId="0" borderId="7" xfId="0" applyBorder="1"/>
    <xf numFmtId="164" fontId="16" fillId="0" borderId="12" xfId="0" applyNumberFormat="1" applyFont="1" applyBorder="1" applyAlignment="1">
      <alignment horizontal="center" vertical="center"/>
    </xf>
    <xf numFmtId="164" fontId="16" fillId="0" borderId="13" xfId="0" applyNumberFormat="1" applyFont="1" applyBorder="1" applyAlignment="1">
      <alignment horizontal="center" vertical="center"/>
    </xf>
    <xf numFmtId="164" fontId="16" fillId="0" borderId="14" xfId="0" applyNumberFormat="1" applyFont="1" applyBorder="1" applyAlignment="1">
      <alignment horizontal="center" vertical="center"/>
    </xf>
    <xf numFmtId="164" fontId="16" fillId="0" borderId="36" xfId="0" applyNumberFormat="1" applyFont="1" applyBorder="1" applyAlignment="1">
      <alignment horizontal="center" vertical="center"/>
    </xf>
    <xf numFmtId="164" fontId="16" fillId="0" borderId="14" xfId="0" applyNumberFormat="1" applyFont="1" applyBorder="1" applyAlignment="1">
      <alignment vertical="center"/>
    </xf>
    <xf numFmtId="164" fontId="16" fillId="0" borderId="37" xfId="0" applyNumberFormat="1" applyFont="1" applyBorder="1" applyAlignment="1">
      <alignment vertical="center"/>
    </xf>
    <xf numFmtId="164" fontId="16" fillId="0" borderId="31" xfId="0" applyNumberFormat="1" applyFont="1" applyBorder="1" applyAlignment="1">
      <alignment vertical="center"/>
    </xf>
    <xf numFmtId="164" fontId="16" fillId="0" borderId="38" xfId="0" applyNumberFormat="1" applyFont="1" applyBorder="1" applyAlignment="1">
      <alignment horizontal="center" vertical="center"/>
    </xf>
    <xf numFmtId="164" fontId="16" fillId="0" borderId="39" xfId="0" applyNumberFormat="1" applyFont="1" applyBorder="1" applyAlignment="1">
      <alignment horizontal="center" vertical="center"/>
    </xf>
    <xf numFmtId="164" fontId="16" fillId="0" borderId="40" xfId="0" applyNumberFormat="1" applyFont="1" applyBorder="1" applyAlignment="1">
      <alignment horizontal="center" vertical="center"/>
    </xf>
    <xf numFmtId="164" fontId="16" fillId="0" borderId="41" xfId="0" applyNumberFormat="1" applyFont="1" applyBorder="1" applyAlignment="1">
      <alignment horizontal="center" vertical="center"/>
    </xf>
    <xf numFmtId="0" fontId="0" fillId="0" borderId="32" xfId="0" applyBorder="1"/>
    <xf numFmtId="164" fontId="16" fillId="0" borderId="42" xfId="0" applyNumberFormat="1" applyFont="1" applyBorder="1" applyAlignment="1">
      <alignment horizontal="center" vertical="center"/>
    </xf>
    <xf numFmtId="164" fontId="16" fillId="0" borderId="43" xfId="0" applyNumberFormat="1" applyFont="1" applyBorder="1" applyAlignment="1">
      <alignment horizontal="center" vertical="center"/>
    </xf>
    <xf numFmtId="0" fontId="1" fillId="0" borderId="6" xfId="0" applyFont="1" applyBorder="1"/>
    <xf numFmtId="2" fontId="16" fillId="0" borderId="5" xfId="0" applyNumberFormat="1" applyFont="1" applyBorder="1" applyAlignment="1">
      <alignment horizontal="center" vertical="center" wrapText="1"/>
    </xf>
    <xf numFmtId="0" fontId="1" fillId="0" borderId="40" xfId="0" applyFont="1" applyBorder="1"/>
    <xf numFmtId="166" fontId="16" fillId="0" borderId="39" xfId="0" applyNumberFormat="1" applyFont="1" applyBorder="1" applyAlignment="1">
      <alignment horizontal="center" vertical="center" wrapText="1"/>
    </xf>
    <xf numFmtId="0" fontId="13" fillId="7" borderId="6" xfId="0" applyFont="1" applyFill="1" applyBorder="1" applyAlignment="1">
      <alignment vertical="center" wrapText="1"/>
    </xf>
    <xf numFmtId="0" fontId="13" fillId="7" borderId="5" xfId="0" applyFont="1" applyFill="1" applyBorder="1" applyAlignment="1">
      <alignment vertical="center" wrapText="1"/>
    </xf>
    <xf numFmtId="0" fontId="13" fillId="7" borderId="10" xfId="0" applyFont="1" applyFill="1" applyBorder="1" applyAlignment="1">
      <alignment vertical="center" wrapText="1"/>
    </xf>
    <xf numFmtId="0" fontId="13" fillId="7" borderId="9" xfId="0" applyFont="1" applyFill="1" applyBorder="1" applyAlignment="1">
      <alignment vertical="center" wrapText="1"/>
    </xf>
    <xf numFmtId="0" fontId="13" fillId="7" borderId="14" xfId="0" applyFont="1" applyFill="1" applyBorder="1" applyAlignment="1">
      <alignment vertical="center" wrapText="1"/>
    </xf>
    <xf numFmtId="0" fontId="13" fillId="7" borderId="13" xfId="0" applyFont="1" applyFill="1" applyBorder="1" applyAlignment="1">
      <alignment vertical="center" wrapText="1"/>
    </xf>
    <xf numFmtId="0" fontId="13" fillId="7" borderId="17" xfId="0" applyFont="1" applyFill="1" applyBorder="1" applyAlignment="1">
      <alignment vertical="center" wrapText="1"/>
    </xf>
    <xf numFmtId="3" fontId="13" fillId="7" borderId="17" xfId="0" applyNumberFormat="1" applyFont="1" applyFill="1" applyBorder="1" applyAlignment="1">
      <alignment vertical="center" wrapText="1"/>
    </xf>
    <xf numFmtId="15" fontId="13" fillId="7" borderId="21" xfId="0" applyNumberFormat="1" applyFont="1" applyFill="1" applyBorder="1" applyAlignment="1">
      <alignment vertical="center" wrapText="1"/>
    </xf>
    <xf numFmtId="0" fontId="13" fillId="7" borderId="25" xfId="0" applyFont="1" applyFill="1" applyBorder="1" applyAlignment="1">
      <alignment vertical="center" wrapText="1"/>
    </xf>
    <xf numFmtId="0" fontId="13" fillId="7" borderId="44" xfId="0" applyFont="1" applyFill="1" applyBorder="1" applyAlignment="1">
      <alignment vertical="center" wrapText="1"/>
    </xf>
    <xf numFmtId="3" fontId="13" fillId="7" borderId="44" xfId="0" applyNumberFormat="1" applyFont="1" applyFill="1" applyBorder="1" applyAlignment="1">
      <alignment vertical="center" wrapText="1"/>
    </xf>
    <xf numFmtId="14" fontId="13" fillId="7" borderId="44" xfId="0" applyNumberFormat="1" applyFont="1" applyFill="1" applyBorder="1" applyAlignment="1">
      <alignment vertical="center" wrapText="1"/>
    </xf>
    <xf numFmtId="164" fontId="16" fillId="0" borderId="40" xfId="0" applyNumberFormat="1" applyFont="1" applyBorder="1" applyAlignment="1">
      <alignment horizontal="center" vertical="center" wrapText="1"/>
    </xf>
    <xf numFmtId="164" fontId="16" fillId="0" borderId="39" xfId="0" applyNumberFormat="1" applyFont="1" applyBorder="1" applyAlignment="1">
      <alignment horizontal="center" vertical="center" wrapText="1"/>
    </xf>
    <xf numFmtId="164" fontId="16" fillId="0" borderId="42" xfId="0" applyNumberFormat="1" applyFont="1" applyBorder="1" applyAlignment="1">
      <alignment horizontal="center" vertical="center" wrapText="1"/>
    </xf>
    <xf numFmtId="164" fontId="16" fillId="0" borderId="43" xfId="0" applyNumberFormat="1" applyFont="1" applyBorder="1" applyAlignment="1">
      <alignment horizontal="center" vertical="center" wrapText="1"/>
    </xf>
    <xf numFmtId="164" fontId="0" fillId="0" borderId="0" xfId="0" applyNumberFormat="1" applyFill="1" applyBorder="1"/>
    <xf numFmtId="164" fontId="11" fillId="0" borderId="0" xfId="0" applyNumberFormat="1" applyFont="1"/>
    <xf numFmtId="164" fontId="11" fillId="0" borderId="0" xfId="0" applyNumberFormat="1" applyFont="1" applyFill="1" applyBorder="1"/>
    <xf numFmtId="0" fontId="17" fillId="5" borderId="30" xfId="0" applyFont="1" applyFill="1" applyBorder="1" applyAlignment="1">
      <alignment horizontal="center" vertical="center" wrapText="1"/>
    </xf>
    <xf numFmtId="0" fontId="0" fillId="5" borderId="0" xfId="0" applyFill="1"/>
    <xf numFmtId="0" fontId="13" fillId="5" borderId="31" xfId="0" applyFont="1" applyFill="1" applyBorder="1" applyAlignment="1">
      <alignment horizontal="center" vertical="center" wrapText="1"/>
    </xf>
    <xf numFmtId="164" fontId="14" fillId="0" borderId="0" xfId="0" applyNumberFormat="1" applyFont="1" applyFill="1" applyBorder="1" applyAlignment="1">
      <alignment horizontal="center" wrapText="1"/>
    </xf>
    <xf numFmtId="164" fontId="13" fillId="0" borderId="0" xfId="0" applyNumberFormat="1" applyFont="1" applyFill="1" applyBorder="1" applyAlignment="1">
      <alignment horizontal="center" vertical="center" wrapText="1"/>
    </xf>
    <xf numFmtId="166" fontId="0" fillId="0" borderId="0" xfId="0" applyNumberFormat="1"/>
    <xf numFmtId="166" fontId="9" fillId="3" borderId="1" xfId="0" applyNumberFormat="1" applyFont="1" applyFill="1" applyBorder="1" applyAlignment="1" applyProtection="1">
      <alignment horizontal="left" vertical="center"/>
    </xf>
    <xf numFmtId="0" fontId="13" fillId="6" borderId="17" xfId="0" applyFont="1" applyFill="1" applyBorder="1" applyAlignment="1">
      <alignment wrapText="1"/>
    </xf>
    <xf numFmtId="0" fontId="13" fillId="6" borderId="21" xfId="0" applyFont="1" applyFill="1" applyBorder="1" applyAlignment="1">
      <alignment wrapText="1"/>
    </xf>
    <xf numFmtId="0" fontId="13" fillId="9" borderId="31" xfId="0" applyFont="1" applyFill="1" applyBorder="1" applyAlignment="1">
      <alignment horizontal="center" vertical="center" wrapText="1"/>
    </xf>
    <xf numFmtId="0" fontId="13" fillId="9" borderId="30" xfId="0" applyFont="1" applyFill="1" applyBorder="1" applyAlignment="1">
      <alignment horizontal="center" vertical="center" wrapText="1"/>
    </xf>
    <xf numFmtId="164" fontId="16" fillId="0" borderId="5" xfId="0" applyNumberFormat="1" applyFont="1" applyBorder="1" applyAlignment="1">
      <alignment horizontal="center" vertical="center"/>
    </xf>
    <xf numFmtId="164" fontId="19" fillId="0" borderId="10" xfId="0" applyNumberFormat="1" applyFont="1" applyBorder="1" applyAlignment="1">
      <alignment horizontal="center" vertical="center"/>
    </xf>
    <xf numFmtId="164" fontId="18" fillId="0" borderId="10" xfId="0" applyNumberFormat="1" applyFont="1" applyBorder="1" applyAlignment="1">
      <alignment horizontal="center" vertical="center"/>
    </xf>
    <xf numFmtId="164" fontId="18" fillId="0" borderId="10" xfId="0" applyNumberFormat="1" applyFont="1" applyFill="1" applyBorder="1" applyAlignment="1">
      <alignment horizontal="center" vertical="center"/>
    </xf>
    <xf numFmtId="164" fontId="19" fillId="0" borderId="10" xfId="0" applyNumberFormat="1" applyFont="1" applyFill="1" applyBorder="1" applyAlignment="1">
      <alignment horizontal="center" vertical="center"/>
    </xf>
    <xf numFmtId="164" fontId="16" fillId="0" borderId="51" xfId="0" applyNumberFormat="1" applyFont="1" applyBorder="1" applyAlignment="1">
      <alignment horizontal="center" vertical="center"/>
    </xf>
    <xf numFmtId="0" fontId="0" fillId="0" borderId="6" xfId="0" applyBorder="1"/>
    <xf numFmtId="0" fontId="0" fillId="0" borderId="40" xfId="0" applyBorder="1"/>
    <xf numFmtId="164" fontId="19" fillId="0" borderId="6" xfId="0" applyNumberFormat="1" applyFont="1" applyBorder="1" applyAlignment="1">
      <alignment horizontal="center" vertical="center"/>
    </xf>
    <xf numFmtId="164" fontId="20" fillId="0" borderId="6" xfId="0" applyNumberFormat="1" applyFont="1" applyBorder="1" applyAlignment="1">
      <alignment horizontal="center" vertical="center"/>
    </xf>
    <xf numFmtId="164" fontId="20" fillId="0" borderId="10" xfId="0" applyNumberFormat="1" applyFont="1" applyBorder="1" applyAlignment="1">
      <alignment horizontal="center" vertical="center"/>
    </xf>
    <xf numFmtId="164" fontId="21" fillId="0" borderId="10" xfId="0" applyNumberFormat="1" applyFont="1" applyBorder="1" applyAlignment="1">
      <alignment horizontal="center" vertical="center"/>
    </xf>
    <xf numFmtId="164" fontId="21" fillId="0" borderId="10" xfId="0" applyNumberFormat="1" applyFont="1" applyFill="1" applyBorder="1" applyAlignment="1">
      <alignment horizontal="center" vertical="center"/>
    </xf>
    <xf numFmtId="164" fontId="20" fillId="0" borderId="10" xfId="0" applyNumberFormat="1" applyFont="1" applyFill="1" applyBorder="1" applyAlignment="1">
      <alignment horizontal="center" vertical="center"/>
    </xf>
    <xf numFmtId="164" fontId="21" fillId="0" borderId="31" xfId="0" applyNumberFormat="1" applyFont="1" applyBorder="1" applyAlignment="1">
      <alignment horizontal="center" vertical="center"/>
    </xf>
    <xf numFmtId="164" fontId="21" fillId="0" borderId="37" xfId="0" applyNumberFormat="1" applyFont="1" applyBorder="1" applyAlignment="1">
      <alignment horizontal="center" vertical="center"/>
    </xf>
    <xf numFmtId="164" fontId="16" fillId="0" borderId="49" xfId="0" applyNumberFormat="1" applyFont="1" applyBorder="1" applyAlignment="1">
      <alignment horizontal="center" vertical="center"/>
    </xf>
    <xf numFmtId="0" fontId="0" fillId="9" borderId="0" xfId="0" applyFill="1" applyAlignment="1">
      <alignment wrapText="1"/>
    </xf>
    <xf numFmtId="0" fontId="13" fillId="6" borderId="52" xfId="0" applyFont="1" applyFill="1" applyBorder="1" applyAlignment="1">
      <alignment wrapText="1"/>
    </xf>
    <xf numFmtId="0" fontId="13" fillId="6" borderId="53" xfId="0" applyFont="1" applyFill="1" applyBorder="1" applyAlignment="1">
      <alignment wrapText="1"/>
    </xf>
    <xf numFmtId="0" fontId="13" fillId="6" borderId="54" xfId="0" applyFont="1" applyFill="1" applyBorder="1" applyAlignment="1">
      <alignment wrapText="1"/>
    </xf>
    <xf numFmtId="0" fontId="13" fillId="6" borderId="19" xfId="0" applyFont="1" applyFill="1" applyBorder="1" applyAlignment="1">
      <alignment wrapText="1"/>
    </xf>
    <xf numFmtId="0" fontId="13" fillId="6" borderId="23" xfId="0" applyFont="1" applyFill="1" applyBorder="1" applyAlignment="1">
      <alignment wrapText="1"/>
    </xf>
    <xf numFmtId="0" fontId="13" fillId="6" borderId="0" xfId="0" applyFont="1" applyFill="1" applyBorder="1" applyAlignment="1">
      <alignment wrapText="1"/>
    </xf>
    <xf numFmtId="0" fontId="13" fillId="6" borderId="55" xfId="0" applyFont="1" applyFill="1" applyBorder="1" applyAlignment="1">
      <alignment wrapText="1"/>
    </xf>
    <xf numFmtId="0" fontId="0" fillId="0" borderId="0" xfId="0" applyBorder="1" applyAlignment="1">
      <alignment horizontal="left"/>
    </xf>
    <xf numFmtId="0" fontId="13" fillId="0" borderId="0" xfId="0" applyFont="1" applyFill="1" applyBorder="1" applyAlignment="1">
      <alignment horizontal="left"/>
    </xf>
    <xf numFmtId="0" fontId="13" fillId="6" borderId="34" xfId="0" applyFont="1" applyFill="1" applyBorder="1" applyAlignment="1">
      <alignment horizontal="left"/>
    </xf>
    <xf numFmtId="0" fontId="13" fillId="6" borderId="7" xfId="0" applyFont="1" applyFill="1" applyBorder="1" applyAlignment="1">
      <alignment horizontal="left"/>
    </xf>
    <xf numFmtId="0" fontId="13" fillId="6" borderId="56" xfId="0" applyFont="1" applyFill="1" applyBorder="1" applyAlignment="1">
      <alignment horizontal="left"/>
    </xf>
    <xf numFmtId="164" fontId="21" fillId="0" borderId="48" xfId="0" applyNumberFormat="1" applyFont="1" applyBorder="1" applyAlignment="1">
      <alignment horizontal="center" vertical="center"/>
    </xf>
    <xf numFmtId="0" fontId="13" fillId="6" borderId="31" xfId="0" applyFont="1" applyFill="1" applyBorder="1" applyAlignment="1">
      <alignment horizontal="center" vertical="center" wrapText="1"/>
    </xf>
    <xf numFmtId="0" fontId="13" fillId="6" borderId="30" xfId="0" applyFont="1" applyFill="1" applyBorder="1" applyAlignment="1">
      <alignment horizontal="center" vertical="center" wrapText="1"/>
    </xf>
    <xf numFmtId="3" fontId="13" fillId="6" borderId="47" xfId="0" applyNumberFormat="1" applyFont="1" applyFill="1" applyBorder="1" applyAlignment="1">
      <alignment horizontal="center" vertical="center" wrapText="1"/>
    </xf>
    <xf numFmtId="3" fontId="13" fillId="6" borderId="57" xfId="0" applyNumberFormat="1" applyFont="1" applyFill="1" applyBorder="1" applyAlignment="1">
      <alignment horizontal="center" vertical="center" wrapText="1"/>
    </xf>
    <xf numFmtId="3" fontId="13" fillId="7" borderId="47" xfId="0" applyNumberFormat="1" applyFont="1" applyFill="1" applyBorder="1" applyAlignment="1">
      <alignment horizontal="center" vertical="center" wrapText="1"/>
    </xf>
    <xf numFmtId="3" fontId="13" fillId="7" borderId="57" xfId="0" applyNumberFormat="1" applyFont="1" applyFill="1" applyBorder="1" applyAlignment="1">
      <alignment horizontal="center" vertical="center" wrapText="1"/>
    </xf>
    <xf numFmtId="2" fontId="0" fillId="0" borderId="0" xfId="0" applyNumberFormat="1" applyBorder="1"/>
    <xf numFmtId="2" fontId="13" fillId="7" borderId="0" xfId="0" applyNumberFormat="1" applyFont="1" applyFill="1" applyBorder="1" applyAlignment="1">
      <alignment horizontal="center" vertical="center" wrapText="1"/>
    </xf>
    <xf numFmtId="2" fontId="11" fillId="0" borderId="0" xfId="0" applyNumberFormat="1" applyFont="1" applyBorder="1"/>
    <xf numFmtId="0" fontId="0" fillId="5" borderId="0" xfId="0" applyFill="1" applyAlignment="1"/>
    <xf numFmtId="0" fontId="13" fillId="5" borderId="31" xfId="0" applyFont="1" applyFill="1" applyBorder="1" applyAlignment="1">
      <alignment horizontal="center" vertical="center"/>
    </xf>
    <xf numFmtId="164" fontId="21" fillId="0" borderId="48" xfId="0" applyNumberFormat="1" applyFont="1" applyBorder="1" applyAlignment="1">
      <alignment vertical="center"/>
    </xf>
    <xf numFmtId="164" fontId="21" fillId="0" borderId="37" xfId="0" applyNumberFormat="1" applyFont="1" applyBorder="1" applyAlignment="1">
      <alignment vertical="center"/>
    </xf>
    <xf numFmtId="164" fontId="16" fillId="0" borderId="51" xfId="0" applyNumberFormat="1" applyFont="1" applyBorder="1" applyAlignment="1">
      <alignment vertical="center"/>
    </xf>
    <xf numFmtId="0" fontId="17" fillId="5" borderId="30" xfId="0" applyFont="1" applyFill="1" applyBorder="1" applyAlignment="1">
      <alignment horizontal="right" vertical="center"/>
    </xf>
    <xf numFmtId="164" fontId="16" fillId="0" borderId="9" xfId="0" applyNumberFormat="1" applyFont="1" applyBorder="1" applyAlignment="1">
      <alignment vertical="center"/>
    </xf>
    <xf numFmtId="9" fontId="16" fillId="0" borderId="40" xfId="0" applyNumberFormat="1" applyFont="1" applyBorder="1" applyAlignment="1">
      <alignment horizontal="center" vertical="center"/>
    </xf>
    <xf numFmtId="9" fontId="16" fillId="0" borderId="39" xfId="0" applyNumberFormat="1" applyFont="1" applyBorder="1" applyAlignment="1">
      <alignment horizontal="center" vertical="center"/>
    </xf>
    <xf numFmtId="164" fontId="24" fillId="0" borderId="48" xfId="0" applyNumberFormat="1" applyFont="1" applyBorder="1" applyAlignment="1">
      <alignment vertical="center"/>
    </xf>
    <xf numFmtId="164" fontId="25" fillId="0" borderId="49" xfId="0" applyNumberFormat="1" applyFont="1" applyFill="1" applyBorder="1" applyAlignment="1">
      <alignment vertical="center"/>
    </xf>
    <xf numFmtId="164" fontId="25" fillId="0" borderId="49" xfId="0" applyNumberFormat="1" applyFont="1" applyBorder="1" applyAlignment="1">
      <alignment vertical="center"/>
    </xf>
    <xf numFmtId="164" fontId="25" fillId="0" borderId="30" xfId="0" applyNumberFormat="1" applyFont="1" applyBorder="1" applyAlignment="1">
      <alignment vertical="center"/>
    </xf>
    <xf numFmtId="164" fontId="25" fillId="0" borderId="51" xfId="0" applyNumberFormat="1" applyFont="1" applyBorder="1" applyAlignment="1">
      <alignment vertical="center"/>
    </xf>
    <xf numFmtId="164" fontId="16" fillId="0" borderId="6" xfId="0" applyNumberFormat="1" applyFont="1" applyBorder="1" applyAlignment="1">
      <alignment horizontal="center" vertical="center"/>
    </xf>
    <xf numFmtId="164" fontId="16" fillId="0" borderId="10" xfId="0" applyNumberFormat="1" applyFont="1" applyFill="1" applyBorder="1" applyAlignment="1">
      <alignment horizontal="center" vertical="center"/>
    </xf>
    <xf numFmtId="0" fontId="13" fillId="6" borderId="0" xfId="0" applyFont="1" applyFill="1" applyBorder="1" applyAlignment="1">
      <alignment horizontal="center" vertical="center" wrapText="1"/>
    </xf>
    <xf numFmtId="3" fontId="13" fillId="6" borderId="0" xfId="0" applyNumberFormat="1" applyFont="1" applyFill="1" applyBorder="1" applyAlignment="1">
      <alignment horizontal="center" vertical="center" wrapText="1"/>
    </xf>
    <xf numFmtId="164" fontId="16" fillId="0" borderId="0" xfId="0" applyNumberFormat="1" applyFont="1" applyBorder="1" applyAlignment="1">
      <alignment horizontal="center" vertical="center"/>
    </xf>
    <xf numFmtId="9" fontId="16" fillId="0" borderId="0" xfId="0" applyNumberFormat="1" applyFont="1" applyBorder="1" applyAlignment="1">
      <alignment horizontal="center" vertical="center"/>
    </xf>
    <xf numFmtId="2" fontId="16" fillId="0" borderId="0" xfId="0" applyNumberFormat="1" applyFont="1" applyBorder="1" applyAlignment="1">
      <alignment horizontal="center" vertical="center" wrapText="1"/>
    </xf>
    <xf numFmtId="166" fontId="16" fillId="0" borderId="0" xfId="0" applyNumberFormat="1" applyFont="1" applyBorder="1" applyAlignment="1">
      <alignment horizontal="center" vertical="center" wrapText="1"/>
    </xf>
    <xf numFmtId="0" fontId="13" fillId="0" borderId="0" xfId="0" applyFont="1" applyFill="1" applyBorder="1" applyAlignment="1">
      <alignment horizontal="center" vertical="center" wrapText="1"/>
    </xf>
    <xf numFmtId="166" fontId="16" fillId="0" borderId="0" xfId="0" applyNumberFormat="1" applyFont="1" applyBorder="1" applyAlignment="1">
      <alignment horizontal="center" vertical="center"/>
    </xf>
    <xf numFmtId="164" fontId="0" fillId="10" borderId="28" xfId="0" applyNumberFormat="1" applyFill="1" applyBorder="1"/>
    <xf numFmtId="0" fontId="0" fillId="11" borderId="58" xfId="0" applyFill="1" applyBorder="1"/>
    <xf numFmtId="0" fontId="0" fillId="0" borderId="59" xfId="0" applyBorder="1"/>
    <xf numFmtId="164" fontId="0" fillId="11" borderId="58" xfId="0" applyNumberFormat="1" applyFill="1" applyBorder="1"/>
    <xf numFmtId="164" fontId="0" fillId="0" borderId="59" xfId="0" applyNumberFormat="1" applyBorder="1"/>
    <xf numFmtId="164" fontId="0" fillId="11" borderId="0" xfId="0" applyNumberFormat="1" applyFill="1" applyBorder="1"/>
    <xf numFmtId="164" fontId="26" fillId="10" borderId="28" xfId="0" applyNumberFormat="1" applyFont="1" applyFill="1" applyBorder="1"/>
    <xf numFmtId="0" fontId="0" fillId="12" borderId="0" xfId="0" applyFill="1"/>
    <xf numFmtId="164" fontId="27" fillId="11" borderId="58" xfId="0" applyNumberFormat="1" applyFont="1" applyFill="1" applyBorder="1"/>
    <xf numFmtId="164" fontId="28" fillId="0" borderId="59" xfId="0" applyNumberFormat="1" applyFont="1" applyBorder="1"/>
    <xf numFmtId="164" fontId="26" fillId="11" borderId="58" xfId="0" applyNumberFormat="1" applyFont="1" applyFill="1" applyBorder="1"/>
    <xf numFmtId="164" fontId="26" fillId="11" borderId="0" xfId="0" applyNumberFormat="1" applyFont="1" applyFill="1" applyBorder="1"/>
    <xf numFmtId="164" fontId="26" fillId="10" borderId="26" xfId="0" applyNumberFormat="1" applyFont="1" applyFill="1" applyBorder="1"/>
    <xf numFmtId="0" fontId="0" fillId="12" borderId="60" xfId="0" applyFill="1" applyBorder="1"/>
    <xf numFmtId="164" fontId="28" fillId="11" borderId="27" xfId="0" applyNumberFormat="1" applyFont="1" applyFill="1" applyBorder="1"/>
    <xf numFmtId="164" fontId="28" fillId="0" borderId="61" xfId="0" applyNumberFormat="1" applyFont="1" applyBorder="1"/>
    <xf numFmtId="164" fontId="26" fillId="11" borderId="27" xfId="0" applyNumberFormat="1" applyFont="1" applyFill="1" applyBorder="1"/>
    <xf numFmtId="164" fontId="0" fillId="0" borderId="61" xfId="0" applyNumberFormat="1" applyBorder="1"/>
    <xf numFmtId="164" fontId="26" fillId="11" borderId="60" xfId="0" applyNumberFormat="1" applyFont="1" applyFill="1" applyBorder="1"/>
    <xf numFmtId="164" fontId="0" fillId="0" borderId="60" xfId="0" applyNumberFormat="1" applyBorder="1"/>
    <xf numFmtId="0" fontId="0" fillId="0" borderId="60" xfId="0" applyBorder="1"/>
    <xf numFmtId="0" fontId="13" fillId="6" borderId="26" xfId="0" applyFont="1" applyFill="1" applyBorder="1" applyAlignment="1">
      <alignment wrapText="1"/>
    </xf>
    <xf numFmtId="0" fontId="0" fillId="10" borderId="28" xfId="0" applyFill="1" applyBorder="1"/>
    <xf numFmtId="0" fontId="28" fillId="11" borderId="58" xfId="0" applyFont="1" applyFill="1" applyBorder="1"/>
    <xf numFmtId="0" fontId="28" fillId="0" borderId="59" xfId="0" applyFont="1" applyBorder="1"/>
    <xf numFmtId="0" fontId="0" fillId="11" borderId="0" xfId="0" applyFill="1" applyBorder="1"/>
    <xf numFmtId="164" fontId="16" fillId="0" borderId="62" xfId="0" applyNumberFormat="1" applyFont="1" applyBorder="1" applyAlignment="1">
      <alignment horizontal="center" vertical="center"/>
    </xf>
    <xf numFmtId="164" fontId="20" fillId="0" borderId="63" xfId="0" applyNumberFormat="1" applyFont="1" applyBorder="1" applyAlignment="1">
      <alignment horizontal="center" vertical="center"/>
    </xf>
    <xf numFmtId="164" fontId="20" fillId="0" borderId="64" xfId="0" applyNumberFormat="1" applyFont="1" applyBorder="1" applyAlignment="1">
      <alignment horizontal="center" vertical="center"/>
    </xf>
    <xf numFmtId="164" fontId="21" fillId="0" borderId="63" xfId="0" applyNumberFormat="1" applyFont="1" applyBorder="1" applyAlignment="1">
      <alignment horizontal="center" vertical="center"/>
    </xf>
    <xf numFmtId="164" fontId="29" fillId="0" borderId="30" xfId="0" applyNumberFormat="1" applyFont="1" applyBorder="1" applyAlignment="1">
      <alignment horizontal="center" vertical="center"/>
    </xf>
    <xf numFmtId="165" fontId="29" fillId="0" borderId="61" xfId="0" applyNumberFormat="1" applyFont="1" applyBorder="1" applyAlignment="1">
      <alignment horizontal="center" vertical="center"/>
    </xf>
    <xf numFmtId="164" fontId="16" fillId="0" borderId="65" xfId="0" applyNumberFormat="1" applyFont="1" applyBorder="1" applyAlignment="1">
      <alignment horizontal="center" vertical="center"/>
    </xf>
    <xf numFmtId="164" fontId="20" fillId="0" borderId="66" xfId="0" applyNumberFormat="1" applyFont="1" applyBorder="1" applyAlignment="1">
      <alignment horizontal="center" vertical="center"/>
    </xf>
    <xf numFmtId="164" fontId="20" fillId="0" borderId="67" xfId="0" applyNumberFormat="1" applyFont="1" applyBorder="1" applyAlignment="1">
      <alignment horizontal="center" vertical="center"/>
    </xf>
    <xf numFmtId="164" fontId="21" fillId="0" borderId="66" xfId="0" applyNumberFormat="1" applyFont="1" applyBorder="1" applyAlignment="1">
      <alignment horizontal="center" vertical="center"/>
    </xf>
    <xf numFmtId="164" fontId="29" fillId="0" borderId="68" xfId="0" applyNumberFormat="1" applyFont="1" applyBorder="1" applyAlignment="1">
      <alignment horizontal="center" vertical="center"/>
    </xf>
    <xf numFmtId="165" fontId="29" fillId="0" borderId="25" xfId="0" applyNumberFormat="1" applyFont="1" applyBorder="1" applyAlignment="1">
      <alignment horizontal="center" vertical="center"/>
    </xf>
    <xf numFmtId="164" fontId="20" fillId="0" borderId="40" xfId="0" applyNumberFormat="1" applyFont="1" applyBorder="1" applyAlignment="1">
      <alignment horizontal="center" vertical="center"/>
    </xf>
    <xf numFmtId="164" fontId="20" fillId="0" borderId="69" xfId="0" applyNumberFormat="1" applyFont="1" applyBorder="1" applyAlignment="1">
      <alignment horizontal="center" vertical="center"/>
    </xf>
    <xf numFmtId="164" fontId="21" fillId="0" borderId="42" xfId="0" applyNumberFormat="1" applyFont="1" applyBorder="1" applyAlignment="1">
      <alignment horizontal="center" vertical="center"/>
    </xf>
    <xf numFmtId="164" fontId="21" fillId="0" borderId="40" xfId="0" applyNumberFormat="1" applyFont="1" applyBorder="1" applyAlignment="1">
      <alignment horizontal="center" vertical="center"/>
    </xf>
    <xf numFmtId="164" fontId="29" fillId="0" borderId="39" xfId="0" applyNumberFormat="1" applyFont="1" applyBorder="1" applyAlignment="1">
      <alignment horizontal="center" vertical="center"/>
    </xf>
    <xf numFmtId="165" fontId="29" fillId="0" borderId="21" xfId="0" applyNumberFormat="1" applyFont="1" applyBorder="1" applyAlignment="1">
      <alignment horizontal="center" vertical="center"/>
    </xf>
    <xf numFmtId="164" fontId="20" fillId="0" borderId="70" xfId="0" applyNumberFormat="1" applyFont="1" applyBorder="1" applyAlignment="1">
      <alignment horizontal="center" vertical="center"/>
    </xf>
    <xf numFmtId="164" fontId="21" fillId="0" borderId="6" xfId="0" applyNumberFormat="1" applyFont="1" applyBorder="1" applyAlignment="1">
      <alignment horizontal="center" vertical="center"/>
    </xf>
    <xf numFmtId="164" fontId="29" fillId="0" borderId="5" xfId="0" applyNumberFormat="1" applyFont="1" applyBorder="1" applyAlignment="1">
      <alignment horizontal="center" vertical="center"/>
    </xf>
    <xf numFmtId="165" fontId="29" fillId="0" borderId="45" xfId="0" applyNumberFormat="1" applyFont="1" applyBorder="1" applyAlignment="1">
      <alignment horizontal="center" vertical="center"/>
    </xf>
    <xf numFmtId="164" fontId="20" fillId="0" borderId="48" xfId="0" applyNumberFormat="1" applyFont="1" applyBorder="1" applyAlignment="1">
      <alignment horizontal="center" vertical="center"/>
    </xf>
    <xf numFmtId="164" fontId="20" fillId="0" borderId="44" xfId="0" applyNumberFormat="1" applyFont="1" applyBorder="1" applyAlignment="1">
      <alignment horizontal="center" vertical="center"/>
    </xf>
    <xf numFmtId="164" fontId="29" fillId="0" borderId="9" xfId="0" applyNumberFormat="1" applyFont="1" applyBorder="1" applyAlignment="1">
      <alignment horizontal="center" vertical="center"/>
    </xf>
    <xf numFmtId="165" fontId="29" fillId="0" borderId="71" xfId="0" applyNumberFormat="1" applyFont="1" applyBorder="1" applyAlignment="1">
      <alignment horizontal="center" vertical="center"/>
    </xf>
    <xf numFmtId="0" fontId="13" fillId="6" borderId="56" xfId="0" applyFont="1" applyFill="1" applyBorder="1" applyAlignment="1">
      <alignment wrapText="1"/>
    </xf>
    <xf numFmtId="164" fontId="28" fillId="11" borderId="58" xfId="0" applyNumberFormat="1" applyFont="1" applyFill="1" applyBorder="1"/>
    <xf numFmtId="164" fontId="16" fillId="0" borderId="72" xfId="0" applyNumberFormat="1" applyFont="1" applyBorder="1" applyAlignment="1">
      <alignment horizontal="center" vertical="center"/>
    </xf>
    <xf numFmtId="164" fontId="30" fillId="0" borderId="10" xfId="0" applyNumberFormat="1" applyFont="1" applyBorder="1" applyAlignment="1">
      <alignment horizontal="center" vertical="center"/>
    </xf>
    <xf numFmtId="164" fontId="20" fillId="0" borderId="73" xfId="0" applyNumberFormat="1" applyFont="1" applyBorder="1" applyAlignment="1">
      <alignment horizontal="center" vertical="center"/>
    </xf>
    <xf numFmtId="164" fontId="17" fillId="0" borderId="9" xfId="0" applyNumberFormat="1" applyFont="1" applyBorder="1" applyAlignment="1">
      <alignment horizontal="center" vertical="center"/>
    </xf>
    <xf numFmtId="165" fontId="29" fillId="0" borderId="17" xfId="0" applyNumberFormat="1" applyFont="1" applyBorder="1" applyAlignment="1">
      <alignment horizontal="center" vertical="center"/>
    </xf>
    <xf numFmtId="164" fontId="13" fillId="0" borderId="73" xfId="0" applyNumberFormat="1" applyFont="1" applyBorder="1" applyAlignment="1">
      <alignment horizontal="center" vertical="center"/>
    </xf>
    <xf numFmtId="164" fontId="13" fillId="0" borderId="44" xfId="0" applyNumberFormat="1" applyFont="1" applyBorder="1" applyAlignment="1">
      <alignment horizontal="center" vertical="center"/>
    </xf>
    <xf numFmtId="0" fontId="13" fillId="13" borderId="7" xfId="0" applyFont="1" applyFill="1" applyBorder="1" applyAlignment="1">
      <alignment horizontal="left" vertical="center" wrapText="1"/>
    </xf>
    <xf numFmtId="0" fontId="13" fillId="13" borderId="7" xfId="0" applyFont="1" applyFill="1" applyBorder="1" applyAlignment="1">
      <alignment wrapText="1"/>
    </xf>
    <xf numFmtId="164" fontId="30" fillId="0" borderId="6" xfId="0" applyNumberFormat="1" applyFont="1" applyBorder="1" applyAlignment="1">
      <alignment horizontal="center" vertical="center"/>
    </xf>
    <xf numFmtId="164" fontId="13" fillId="0" borderId="4" xfId="0" applyNumberFormat="1" applyFont="1" applyBorder="1" applyAlignment="1">
      <alignment horizontal="center" vertical="center"/>
    </xf>
    <xf numFmtId="164" fontId="17" fillId="0" borderId="5" xfId="0" applyNumberFormat="1" applyFont="1" applyBorder="1" applyAlignment="1">
      <alignment horizontal="center" vertical="center"/>
    </xf>
    <xf numFmtId="164" fontId="13" fillId="0" borderId="70" xfId="0" applyNumberFormat="1" applyFont="1" applyBorder="1" applyAlignment="1">
      <alignment horizontal="center" vertical="center"/>
    </xf>
    <xf numFmtId="164" fontId="20" fillId="0" borderId="38" xfId="0" applyNumberFormat="1" applyFont="1" applyBorder="1" applyAlignment="1">
      <alignment horizontal="center" vertical="center"/>
    </xf>
    <xf numFmtId="164" fontId="17" fillId="0" borderId="39" xfId="0" applyNumberFormat="1" applyFont="1" applyBorder="1" applyAlignment="1">
      <alignment horizontal="center" vertical="center"/>
    </xf>
    <xf numFmtId="165" fontId="29" fillId="0" borderId="47" xfId="0" applyNumberFormat="1" applyFont="1" applyBorder="1" applyAlignment="1">
      <alignment horizontal="center" vertical="center"/>
    </xf>
    <xf numFmtId="164" fontId="30" fillId="0" borderId="73" xfId="0" applyNumberFormat="1" applyFont="1" applyBorder="1" applyAlignment="1">
      <alignment horizontal="center" vertical="center"/>
    </xf>
    <xf numFmtId="164" fontId="30" fillId="0" borderId="44" xfId="0" applyNumberFormat="1" applyFont="1" applyBorder="1" applyAlignment="1">
      <alignment horizontal="center" vertical="center"/>
    </xf>
    <xf numFmtId="164" fontId="30" fillId="0" borderId="4" xfId="0" applyNumberFormat="1" applyFont="1" applyBorder="1" applyAlignment="1">
      <alignment horizontal="center" vertical="center"/>
    </xf>
    <xf numFmtId="164" fontId="30" fillId="0" borderId="70" xfId="0" applyNumberFormat="1" applyFont="1" applyBorder="1" applyAlignment="1">
      <alignment horizontal="center" vertical="center"/>
    </xf>
    <xf numFmtId="0" fontId="28" fillId="0" borderId="58" xfId="0" applyFont="1" applyBorder="1"/>
    <xf numFmtId="0" fontId="26" fillId="0" borderId="58" xfId="0" applyFont="1" applyBorder="1"/>
    <xf numFmtId="0" fontId="0" fillId="0" borderId="58" xfId="0" applyBorder="1"/>
    <xf numFmtId="0" fontId="29" fillId="0" borderId="0" xfId="0" applyFont="1" applyAlignment="1">
      <alignment horizontal="center" vertical="center"/>
    </xf>
    <xf numFmtId="0" fontId="29" fillId="0" borderId="59" xfId="0" applyFont="1" applyBorder="1" applyAlignment="1">
      <alignment horizontal="center" vertical="center"/>
    </xf>
    <xf numFmtId="164" fontId="31" fillId="0" borderId="40" xfId="0" applyNumberFormat="1" applyFont="1" applyBorder="1" applyAlignment="1">
      <alignment horizontal="center" vertical="center"/>
    </xf>
    <xf numFmtId="164" fontId="31" fillId="0" borderId="10" xfId="0" applyNumberFormat="1" applyFont="1" applyBorder="1" applyAlignment="1">
      <alignment horizontal="center" vertical="center"/>
    </xf>
    <xf numFmtId="164" fontId="30" fillId="0" borderId="69" xfId="0" applyNumberFormat="1" applyFont="1" applyBorder="1" applyAlignment="1">
      <alignment horizontal="center" vertical="center"/>
    </xf>
    <xf numFmtId="164" fontId="30" fillId="0" borderId="40" xfId="0" applyNumberFormat="1" applyFont="1" applyBorder="1" applyAlignment="1">
      <alignment horizontal="center" vertical="center"/>
    </xf>
    <xf numFmtId="164" fontId="30" fillId="0" borderId="67" xfId="0" applyNumberFormat="1" applyFont="1" applyBorder="1" applyAlignment="1">
      <alignment horizontal="center" vertical="center"/>
    </xf>
    <xf numFmtId="164" fontId="30" fillId="0" borderId="66" xfId="0" applyNumberFormat="1" applyFont="1" applyBorder="1" applyAlignment="1">
      <alignment horizontal="center" vertical="center"/>
    </xf>
    <xf numFmtId="164" fontId="31" fillId="0" borderId="69" xfId="0" applyNumberFormat="1" applyFont="1" applyBorder="1" applyAlignment="1">
      <alignment horizontal="center" vertical="center"/>
    </xf>
    <xf numFmtId="0" fontId="13" fillId="14" borderId="18" xfId="0" applyFont="1" applyFill="1" applyBorder="1" applyAlignment="1">
      <alignment wrapText="1"/>
    </xf>
    <xf numFmtId="0" fontId="13" fillId="14" borderId="7" xfId="0" applyFont="1" applyFill="1" applyBorder="1" applyAlignment="1">
      <alignment wrapText="1"/>
    </xf>
    <xf numFmtId="0" fontId="13" fillId="14" borderId="34" xfId="0" applyFont="1" applyFill="1" applyBorder="1" applyAlignment="1">
      <alignment wrapText="1"/>
    </xf>
    <xf numFmtId="0" fontId="13" fillId="14" borderId="17" xfId="0" applyFont="1" applyFill="1" applyBorder="1" applyAlignment="1">
      <alignment wrapText="1"/>
    </xf>
    <xf numFmtId="164" fontId="31" fillId="0" borderId="70" xfId="0" applyNumberFormat="1" applyFont="1" applyBorder="1" applyAlignment="1">
      <alignment horizontal="center" vertical="center"/>
    </xf>
    <xf numFmtId="164" fontId="31" fillId="0" borderId="6" xfId="0" applyNumberFormat="1" applyFont="1" applyBorder="1" applyAlignment="1">
      <alignment horizontal="center" vertical="center"/>
    </xf>
    <xf numFmtId="0" fontId="13" fillId="14" borderId="45" xfId="0" applyFont="1" applyFill="1" applyBorder="1" applyAlignment="1">
      <alignment wrapText="1"/>
    </xf>
    <xf numFmtId="0" fontId="17" fillId="10" borderId="28" xfId="0" applyFont="1" applyFill="1" applyBorder="1" applyAlignment="1">
      <alignment horizontal="center" vertical="center" wrapText="1"/>
    </xf>
    <xf numFmtId="0" fontId="13" fillId="11" borderId="0" xfId="0" applyFont="1" applyFill="1" applyBorder="1" applyAlignment="1">
      <alignment horizontal="center" vertical="center" wrapText="1"/>
    </xf>
    <xf numFmtId="0" fontId="32" fillId="11" borderId="30" xfId="0" applyFont="1" applyFill="1" applyBorder="1" applyAlignment="1">
      <alignment horizontal="center" vertical="center" wrapText="1"/>
    </xf>
    <xf numFmtId="0" fontId="32" fillId="11" borderId="31" xfId="0" applyFont="1" applyFill="1" applyBorder="1" applyAlignment="1">
      <alignment horizontal="center" vertical="center" wrapText="1"/>
    </xf>
    <xf numFmtId="0" fontId="17" fillId="11" borderId="30" xfId="0" applyFont="1" applyFill="1" applyBorder="1" applyAlignment="1">
      <alignment horizontal="center" vertical="center" wrapText="1"/>
    </xf>
    <xf numFmtId="0" fontId="13" fillId="11" borderId="31" xfId="0" applyFont="1" applyFill="1" applyBorder="1" applyAlignment="1">
      <alignment horizontal="center" vertical="center" wrapText="1"/>
    </xf>
    <xf numFmtId="0" fontId="13" fillId="11" borderId="30" xfId="0" applyFont="1" applyFill="1" applyBorder="1" applyAlignment="1">
      <alignment horizontal="center" vertical="center" wrapText="1"/>
    </xf>
    <xf numFmtId="0" fontId="13" fillId="11" borderId="74" xfId="0" applyFont="1" applyFill="1" applyBorder="1" applyAlignment="1">
      <alignment horizontal="center" vertical="center" wrapText="1"/>
    </xf>
    <xf numFmtId="0" fontId="13" fillId="15" borderId="30" xfId="0" applyFont="1" applyFill="1" applyBorder="1" applyAlignment="1">
      <alignment horizontal="center" vertical="center" wrapText="1"/>
    </xf>
    <xf numFmtId="0" fontId="13" fillId="15" borderId="31" xfId="0" applyFont="1" applyFill="1" applyBorder="1" applyAlignment="1">
      <alignment horizontal="center" vertical="center" wrapText="1"/>
    </xf>
    <xf numFmtId="0" fontId="13" fillId="15" borderId="74" xfId="0" applyFont="1" applyFill="1" applyBorder="1" applyAlignment="1">
      <alignment horizontal="center" vertical="center" wrapText="1"/>
    </xf>
    <xf numFmtId="0" fontId="13" fillId="7" borderId="39" xfId="0" applyFont="1" applyFill="1" applyBorder="1" applyAlignment="1">
      <alignment horizontal="center" vertical="center" wrapText="1"/>
    </xf>
    <xf numFmtId="0" fontId="13" fillId="7" borderId="69" xfId="0" applyFont="1" applyFill="1" applyBorder="1" applyAlignment="1">
      <alignment horizontal="center" vertical="center" wrapText="1"/>
    </xf>
    <xf numFmtId="0" fontId="13" fillId="7" borderId="40" xfId="0" applyFont="1" applyFill="1" applyBorder="1" applyAlignment="1">
      <alignment horizontal="center" vertical="center" wrapText="1"/>
    </xf>
    <xf numFmtId="0" fontId="13" fillId="10" borderId="56" xfId="0" applyFont="1" applyFill="1" applyBorder="1" applyAlignment="1">
      <alignment vertical="center" wrapText="1"/>
    </xf>
    <xf numFmtId="0" fontId="13" fillId="11" borderId="54" xfId="0" applyFont="1" applyFill="1" applyBorder="1" applyAlignment="1">
      <alignment horizontal="center" vertical="center" wrapText="1"/>
    </xf>
    <xf numFmtId="0" fontId="0" fillId="11" borderId="73" xfId="0" applyFill="1" applyBorder="1" applyAlignment="1">
      <alignment horizontal="center"/>
    </xf>
    <xf numFmtId="164" fontId="0" fillId="11" borderId="72" xfId="7" applyNumberFormat="1" applyFont="1" applyFill="1" applyBorder="1" applyAlignment="1">
      <alignment horizontal="center"/>
    </xf>
    <xf numFmtId="0" fontId="0" fillId="11" borderId="72" xfId="0" applyFill="1" applyBorder="1" applyAlignment="1">
      <alignment horizontal="center"/>
    </xf>
    <xf numFmtId="164" fontId="30" fillId="11" borderId="72" xfId="0" applyNumberFormat="1" applyFont="1" applyFill="1" applyBorder="1" applyAlignment="1">
      <alignment horizontal="center" vertical="center"/>
    </xf>
    <xf numFmtId="0" fontId="0" fillId="11" borderId="29" xfId="0" applyFill="1" applyBorder="1" applyAlignment="1">
      <alignment horizontal="center"/>
    </xf>
    <xf numFmtId="0" fontId="0" fillId="11" borderId="74" xfId="0" applyFill="1" applyBorder="1" applyAlignment="1">
      <alignment horizontal="center"/>
    </xf>
    <xf numFmtId="0" fontId="0" fillId="11" borderId="75" xfId="0" applyFill="1" applyBorder="1" applyAlignment="1">
      <alignment horizontal="center"/>
    </xf>
    <xf numFmtId="0" fontId="0" fillId="11" borderId="36" xfId="0" applyFill="1" applyBorder="1" applyAlignment="1">
      <alignment horizontal="center"/>
    </xf>
    <xf numFmtId="0" fontId="0" fillId="11" borderId="29" xfId="0" applyFill="1" applyBorder="1"/>
    <xf numFmtId="0" fontId="0" fillId="11" borderId="74" xfId="0" applyFill="1" applyBorder="1"/>
    <xf numFmtId="166" fontId="16" fillId="0" borderId="27" xfId="0" applyNumberFormat="1" applyFont="1" applyBorder="1" applyAlignment="1">
      <alignment horizontal="center" vertical="center" wrapText="1"/>
    </xf>
    <xf numFmtId="0" fontId="0" fillId="0" borderId="24" xfId="0" applyBorder="1"/>
    <xf numFmtId="0" fontId="13" fillId="6" borderId="45" xfId="0" applyFont="1" applyFill="1" applyBorder="1" applyAlignment="1">
      <alignment horizontal="left" vertical="center" wrapText="1"/>
    </xf>
    <xf numFmtId="164" fontId="16" fillId="0" borderId="66" xfId="0" applyNumberFormat="1" applyFont="1" applyBorder="1" applyAlignment="1">
      <alignment horizontal="center" vertical="center"/>
    </xf>
    <xf numFmtId="166" fontId="16" fillId="0" borderId="41" xfId="0" applyNumberFormat="1" applyFont="1" applyBorder="1" applyAlignment="1">
      <alignment horizontal="center" vertical="center" wrapText="1"/>
    </xf>
    <xf numFmtId="0" fontId="13" fillId="6" borderId="56" xfId="0" applyFont="1" applyFill="1" applyBorder="1" applyAlignment="1">
      <alignment horizontal="left" vertical="center" wrapText="1"/>
    </xf>
    <xf numFmtId="2" fontId="16" fillId="0" borderId="65" xfId="0" applyNumberFormat="1" applyFont="1" applyBorder="1" applyAlignment="1">
      <alignment horizontal="center" vertical="center" wrapText="1"/>
    </xf>
    <xf numFmtId="0" fontId="13" fillId="6" borderId="3" xfId="0" applyFont="1" applyFill="1" applyBorder="1" applyAlignment="1">
      <alignment horizontal="left" vertical="center" wrapText="1"/>
    </xf>
    <xf numFmtId="164" fontId="16" fillId="0" borderId="63" xfId="0" applyNumberFormat="1" applyFont="1" applyBorder="1" applyAlignment="1">
      <alignment horizontal="center" vertical="center"/>
    </xf>
    <xf numFmtId="0" fontId="13" fillId="6" borderId="26" xfId="0" applyFont="1" applyFill="1" applyBorder="1" applyAlignment="1">
      <alignment horizontal="left" vertical="center" wrapText="1"/>
    </xf>
    <xf numFmtId="164" fontId="16" fillId="0" borderId="68" xfId="0" applyNumberFormat="1" applyFont="1" applyBorder="1" applyAlignment="1">
      <alignment horizontal="center" vertical="center"/>
    </xf>
    <xf numFmtId="164" fontId="16" fillId="0" borderId="76" xfId="0" applyNumberFormat="1" applyFont="1" applyBorder="1" applyAlignment="1">
      <alignment horizontal="center" vertical="center"/>
    </xf>
    <xf numFmtId="0" fontId="13" fillId="6" borderId="22" xfId="0" applyFont="1" applyFill="1" applyBorder="1" applyAlignment="1">
      <alignment horizontal="left" vertical="center" wrapText="1"/>
    </xf>
    <xf numFmtId="0" fontId="13" fillId="6" borderId="18" xfId="0" applyFont="1" applyFill="1" applyBorder="1" applyAlignment="1">
      <alignment horizontal="left" vertical="center" wrapText="1"/>
    </xf>
    <xf numFmtId="167" fontId="0" fillId="0" borderId="0" xfId="0" applyNumberFormat="1"/>
    <xf numFmtId="164" fontId="16" fillId="0" borderId="77" xfId="0" applyNumberFormat="1" applyFont="1" applyBorder="1" applyAlignment="1">
      <alignment horizontal="center" vertical="center"/>
    </xf>
    <xf numFmtId="164" fontId="19" fillId="0" borderId="61" xfId="0" applyNumberFormat="1" applyFont="1" applyBorder="1" applyAlignment="1">
      <alignment horizontal="center"/>
    </xf>
    <xf numFmtId="164" fontId="20" fillId="0" borderId="78" xfId="0" applyNumberFormat="1" applyFont="1" applyBorder="1" applyAlignment="1">
      <alignment horizontal="center" vertical="center"/>
    </xf>
    <xf numFmtId="164" fontId="16" fillId="0" borderId="24" xfId="0" applyNumberFormat="1" applyFont="1" applyBorder="1" applyAlignment="1">
      <alignment horizontal="center" vertical="center"/>
    </xf>
    <xf numFmtId="164" fontId="19" fillId="0" borderId="25" xfId="0" applyNumberFormat="1" applyFont="1" applyBorder="1" applyAlignment="1">
      <alignment horizontal="center"/>
    </xf>
    <xf numFmtId="164" fontId="19" fillId="0" borderId="40" xfId="0" applyNumberFormat="1" applyFont="1" applyBorder="1" applyAlignment="1">
      <alignment horizontal="center"/>
    </xf>
    <xf numFmtId="164" fontId="16" fillId="0" borderId="20" xfId="0" applyNumberFormat="1" applyFont="1" applyBorder="1" applyAlignment="1">
      <alignment horizontal="center" vertical="center"/>
    </xf>
    <xf numFmtId="164" fontId="20" fillId="0" borderId="42" xfId="0" applyNumberFormat="1" applyFont="1" applyBorder="1" applyAlignment="1">
      <alignment horizontal="center" vertical="center"/>
    </xf>
    <xf numFmtId="164" fontId="19" fillId="0" borderId="6" xfId="0" applyNumberFormat="1" applyFont="1" applyBorder="1" applyAlignment="1">
      <alignment horizontal="center"/>
    </xf>
    <xf numFmtId="164" fontId="16" fillId="0" borderId="46" xfId="0" applyNumberFormat="1" applyFont="1" applyBorder="1" applyAlignment="1">
      <alignment horizontal="center" vertical="center"/>
    </xf>
    <xf numFmtId="164" fontId="19" fillId="0" borderId="48" xfId="0" applyNumberFormat="1" applyFont="1" applyBorder="1" applyAlignment="1">
      <alignment horizontal="center"/>
    </xf>
    <xf numFmtId="164" fontId="19" fillId="0" borderId="10" xfId="0" applyNumberFormat="1" applyFont="1" applyBorder="1" applyAlignment="1">
      <alignment horizontal="center"/>
    </xf>
    <xf numFmtId="164" fontId="16" fillId="0" borderId="57" xfId="0" applyNumberFormat="1" applyFont="1" applyBorder="1" applyAlignment="1">
      <alignment horizontal="center" vertical="center"/>
    </xf>
    <xf numFmtId="164" fontId="16" fillId="0" borderId="50" xfId="0" applyNumberFormat="1" applyFont="1" applyBorder="1" applyAlignment="1">
      <alignment horizontal="center" vertical="center"/>
    </xf>
    <xf numFmtId="0" fontId="13" fillId="6" borderId="7" xfId="0" applyFont="1" applyFill="1" applyBorder="1" applyAlignment="1">
      <alignment horizontal="left" vertical="center" wrapText="1"/>
    </xf>
    <xf numFmtId="164" fontId="20" fillId="0" borderId="37" xfId="0" applyNumberFormat="1" applyFont="1" applyBorder="1" applyAlignment="1">
      <alignment horizontal="center" vertical="center"/>
    </xf>
    <xf numFmtId="164" fontId="18" fillId="0" borderId="37" xfId="0" applyNumberFormat="1" applyFont="1" applyBorder="1" applyAlignment="1">
      <alignment horizontal="center" vertical="center"/>
    </xf>
    <xf numFmtId="164" fontId="30" fillId="0" borderId="37" xfId="0" applyNumberFormat="1" applyFont="1" applyBorder="1" applyAlignment="1">
      <alignment horizontal="center" vertical="center"/>
    </xf>
    <xf numFmtId="164" fontId="18" fillId="0" borderId="31" xfId="0" applyNumberFormat="1" applyFont="1" applyBorder="1" applyAlignment="1">
      <alignment horizontal="center" vertical="center"/>
    </xf>
    <xf numFmtId="168" fontId="30" fillId="0" borderId="10" xfId="0" applyNumberFormat="1" applyFont="1" applyBorder="1" applyAlignment="1">
      <alignment horizontal="center" vertical="center"/>
    </xf>
    <xf numFmtId="164" fontId="18" fillId="0" borderId="48" xfId="0" applyNumberFormat="1" applyFont="1" applyBorder="1" applyAlignment="1">
      <alignment horizontal="center" vertical="center"/>
    </xf>
    <xf numFmtId="164" fontId="18" fillId="0" borderId="10" xfId="0" applyNumberFormat="1" applyFont="1" applyBorder="1" applyAlignment="1">
      <alignment horizontal="center"/>
    </xf>
    <xf numFmtId="164" fontId="18" fillId="0" borderId="6" xfId="0" applyNumberFormat="1" applyFont="1" applyBorder="1" applyAlignment="1">
      <alignment horizontal="center"/>
    </xf>
    <xf numFmtId="164" fontId="18" fillId="0" borderId="6" xfId="0" applyNumberFormat="1" applyFont="1" applyBorder="1" applyAlignment="1">
      <alignment horizontal="center" vertical="center"/>
    </xf>
    <xf numFmtId="164" fontId="20" fillId="0" borderId="6" xfId="0" applyNumberFormat="1" applyFont="1" applyFill="1" applyBorder="1" applyAlignment="1">
      <alignment horizontal="center" vertical="center"/>
    </xf>
    <xf numFmtId="164" fontId="19" fillId="0" borderId="48" xfId="0" applyNumberFormat="1" applyFont="1" applyBorder="1" applyAlignment="1">
      <alignment horizontal="center" vertical="center"/>
    </xf>
    <xf numFmtId="164" fontId="20" fillId="0" borderId="31" xfId="0" applyNumberFormat="1" applyFont="1" applyBorder="1" applyAlignment="1">
      <alignment horizontal="center" vertical="center"/>
    </xf>
    <xf numFmtId="0" fontId="13" fillId="14" borderId="18" xfId="0" applyFont="1" applyFill="1" applyBorder="1" applyAlignment="1">
      <alignment horizontal="left" vertical="center" wrapText="1"/>
    </xf>
    <xf numFmtId="0" fontId="13" fillId="14" borderId="7" xfId="0" applyFont="1" applyFill="1" applyBorder="1" applyAlignment="1">
      <alignment horizontal="left" vertical="center" wrapText="1"/>
    </xf>
    <xf numFmtId="164" fontId="16" fillId="0" borderId="79" xfId="0" applyNumberFormat="1" applyFont="1" applyBorder="1" applyAlignment="1">
      <alignment horizontal="center" vertical="center"/>
    </xf>
    <xf numFmtId="0" fontId="13" fillId="14" borderId="34" xfId="0" applyFont="1" applyFill="1" applyBorder="1" applyAlignment="1">
      <alignment horizontal="left" vertical="center" wrapText="1"/>
    </xf>
    <xf numFmtId="0" fontId="13" fillId="14" borderId="17" xfId="0" applyFont="1" applyFill="1" applyBorder="1" applyAlignment="1">
      <alignment horizontal="left" vertical="center" wrapText="1"/>
    </xf>
    <xf numFmtId="0" fontId="13" fillId="14" borderId="45" xfId="0" applyFont="1" applyFill="1" applyBorder="1" applyAlignment="1">
      <alignment horizontal="left" vertical="center" wrapText="1"/>
    </xf>
    <xf numFmtId="0" fontId="13" fillId="8" borderId="30" xfId="0" applyFont="1" applyFill="1" applyBorder="1" applyAlignment="1">
      <alignment horizontal="center" vertical="center" wrapText="1"/>
    </xf>
    <xf numFmtId="0" fontId="13" fillId="8" borderId="31" xfId="0" applyFont="1" applyFill="1" applyBorder="1" applyAlignment="1">
      <alignment horizontal="center" vertical="center" wrapText="1"/>
    </xf>
    <xf numFmtId="0" fontId="13" fillId="10" borderId="30" xfId="0" applyFont="1" applyFill="1" applyBorder="1" applyAlignment="1">
      <alignment horizontal="center" vertical="center" wrapText="1"/>
    </xf>
    <xf numFmtId="0" fontId="13" fillId="10" borderId="31" xfId="0" applyFont="1" applyFill="1" applyBorder="1" applyAlignment="1">
      <alignment horizontal="center" vertical="center" wrapText="1"/>
    </xf>
    <xf numFmtId="0" fontId="13" fillId="16" borderId="30" xfId="0" applyFont="1" applyFill="1" applyBorder="1" applyAlignment="1">
      <alignment horizontal="center" vertical="center" wrapText="1"/>
    </xf>
    <xf numFmtId="0" fontId="13" fillId="16" borderId="31" xfId="0" applyFont="1" applyFill="1" applyBorder="1" applyAlignment="1">
      <alignment horizontal="center" vertical="center" wrapText="1"/>
    </xf>
    <xf numFmtId="0" fontId="13" fillId="6" borderId="59" xfId="0" applyFont="1" applyFill="1" applyBorder="1" applyAlignment="1">
      <alignment horizontal="left" vertical="center" wrapText="1"/>
    </xf>
    <xf numFmtId="0" fontId="13" fillId="6" borderId="25" xfId="0" applyFont="1" applyFill="1" applyBorder="1" applyAlignment="1">
      <alignment horizontal="left" vertical="center" wrapText="1"/>
    </xf>
    <xf numFmtId="15" fontId="13" fillId="10" borderId="33" xfId="0" applyNumberFormat="1" applyFont="1" applyFill="1" applyBorder="1" applyAlignment="1">
      <alignment horizontal="center" vertical="center" wrapText="1"/>
    </xf>
    <xf numFmtId="15" fontId="13" fillId="10" borderId="80" xfId="0" applyNumberFormat="1" applyFont="1" applyFill="1" applyBorder="1" applyAlignment="1">
      <alignment horizontal="center" vertical="center" wrapText="1"/>
    </xf>
    <xf numFmtId="0" fontId="13" fillId="7" borderId="33" xfId="0" applyFont="1" applyFill="1" applyBorder="1" applyAlignment="1">
      <alignment horizontal="center" vertical="center" wrapText="1"/>
    </xf>
    <xf numFmtId="15" fontId="13" fillId="7" borderId="80" xfId="0" applyNumberFormat="1" applyFont="1" applyFill="1" applyBorder="1" applyAlignment="1">
      <alignment horizontal="center" vertical="center" wrapText="1"/>
    </xf>
    <xf numFmtId="15" fontId="13" fillId="16" borderId="33" xfId="0" applyNumberFormat="1" applyFont="1" applyFill="1" applyBorder="1" applyAlignment="1">
      <alignment horizontal="center" vertical="center" wrapText="1"/>
    </xf>
    <xf numFmtId="0" fontId="13" fillId="16" borderId="33" xfId="0" applyFont="1" applyFill="1" applyBorder="1" applyAlignment="1">
      <alignment horizontal="center" vertical="center" wrapText="1"/>
    </xf>
    <xf numFmtId="0" fontId="13" fillId="15" borderId="33" xfId="0" applyFont="1" applyFill="1" applyBorder="1" applyAlignment="1">
      <alignment horizontal="center" vertical="center" wrapText="1"/>
    </xf>
    <xf numFmtId="15" fontId="13" fillId="15" borderId="80" xfId="0" applyNumberFormat="1" applyFont="1" applyFill="1" applyBorder="1" applyAlignment="1">
      <alignment horizontal="center" vertical="center" wrapText="1"/>
    </xf>
    <xf numFmtId="0" fontId="13" fillId="6" borderId="80" xfId="0" applyFont="1" applyFill="1" applyBorder="1" applyAlignment="1">
      <alignment horizontal="left" vertical="center" wrapText="1"/>
    </xf>
    <xf numFmtId="0" fontId="13" fillId="6" borderId="21" xfId="0" applyFont="1" applyFill="1" applyBorder="1" applyAlignment="1">
      <alignment horizontal="left" vertical="center" wrapText="1"/>
    </xf>
    <xf numFmtId="0" fontId="13" fillId="6" borderId="47" xfId="0" applyFont="1" applyFill="1" applyBorder="1" applyAlignment="1">
      <alignment horizontal="left" vertical="center" wrapText="1"/>
    </xf>
    <xf numFmtId="0" fontId="13" fillId="6" borderId="17" xfId="0" applyFont="1" applyFill="1" applyBorder="1" applyAlignment="1">
      <alignment horizontal="left" vertical="center" wrapText="1"/>
    </xf>
    <xf numFmtId="0" fontId="0" fillId="0" borderId="0" xfId="0" applyFill="1" applyBorder="1"/>
    <xf numFmtId="0" fontId="0" fillId="0" borderId="0" xfId="0" applyFill="1"/>
    <xf numFmtId="0" fontId="14" fillId="8" borderId="0" xfId="0" applyFont="1" applyFill="1" applyBorder="1" applyAlignment="1">
      <alignment horizontal="center"/>
    </xf>
    <xf numFmtId="0" fontId="13" fillId="8" borderId="0" xfId="0" applyFont="1" applyFill="1" applyBorder="1" applyAlignment="1">
      <alignment horizontal="center" vertical="center" wrapText="1"/>
    </xf>
    <xf numFmtId="10" fontId="0" fillId="0" borderId="0" xfId="0" applyNumberFormat="1"/>
    <xf numFmtId="164" fontId="16" fillId="0" borderId="61" xfId="0" applyNumberFormat="1" applyFont="1" applyBorder="1" applyAlignment="1">
      <alignment horizontal="center" vertical="center"/>
    </xf>
    <xf numFmtId="164" fontId="16" fillId="0" borderId="25" xfId="0" applyNumberFormat="1" applyFont="1" applyBorder="1" applyAlignment="1">
      <alignment horizontal="center" vertical="center"/>
    </xf>
    <xf numFmtId="0" fontId="0" fillId="0" borderId="0" xfId="0" applyBorder="1"/>
    <xf numFmtId="0" fontId="23" fillId="0" borderId="0" xfId="0" applyFont="1" applyAlignment="1">
      <alignment vertical="center"/>
    </xf>
    <xf numFmtId="0" fontId="0" fillId="0" borderId="0" xfId="0" applyAlignment="1">
      <alignment vertical="center"/>
    </xf>
    <xf numFmtId="0" fontId="34" fillId="0" borderId="0" xfId="0" applyFont="1" applyAlignment="1">
      <alignment vertical="center"/>
    </xf>
    <xf numFmtId="0" fontId="36" fillId="0" borderId="0" xfId="0" applyFont="1" applyAlignment="1">
      <alignment vertical="center"/>
    </xf>
    <xf numFmtId="0" fontId="0" fillId="0" borderId="0" xfId="0" applyAlignment="1">
      <alignment horizontal="left" vertical="center" indent="5"/>
    </xf>
    <xf numFmtId="0" fontId="0" fillId="0" borderId="0" xfId="0" applyAlignment="1">
      <alignment horizontal="left" vertical="center" indent="10"/>
    </xf>
    <xf numFmtId="0" fontId="38" fillId="0" borderId="0" xfId="0" applyFont="1" applyAlignment="1">
      <alignment horizontal="left" vertical="center" indent="10"/>
    </xf>
    <xf numFmtId="169" fontId="2" fillId="0" borderId="0" xfId="0" applyNumberFormat="1" applyFont="1"/>
    <xf numFmtId="0" fontId="40" fillId="0" borderId="0" xfId="8" applyAlignment="1"/>
    <xf numFmtId="0" fontId="40" fillId="0" borderId="0" xfId="8" applyFill="1" applyAlignment="1"/>
    <xf numFmtId="164" fontId="3" fillId="2" borderId="0" xfId="0" applyNumberFormat="1" applyFont="1" applyFill="1"/>
    <xf numFmtId="14" fontId="0" fillId="0" borderId="0" xfId="0" applyNumberFormat="1" applyFill="1" applyAlignment="1"/>
    <xf numFmtId="10" fontId="16" fillId="0" borderId="0" xfId="0" applyNumberFormat="1" applyFont="1" applyBorder="1" applyAlignment="1">
      <alignment horizontal="center" vertical="center"/>
    </xf>
    <xf numFmtId="0" fontId="1" fillId="0" borderId="0" xfId="0" applyFont="1" applyFill="1"/>
    <xf numFmtId="0" fontId="13" fillId="7" borderId="25" xfId="0" applyFont="1" applyFill="1" applyBorder="1" applyAlignment="1">
      <alignment horizontal="center" vertical="center" wrapText="1"/>
    </xf>
    <xf numFmtId="0" fontId="13" fillId="7" borderId="24" xfId="0" applyFont="1" applyFill="1" applyBorder="1" applyAlignment="1">
      <alignment horizontal="center" vertical="center" wrapText="1"/>
    </xf>
    <xf numFmtId="0" fontId="13" fillId="7" borderId="23" xfId="0" applyFont="1" applyFill="1" applyBorder="1" applyAlignment="1">
      <alignment horizontal="center" vertical="center" wrapText="1"/>
    </xf>
    <xf numFmtId="3" fontId="13" fillId="7" borderId="17" xfId="0" applyNumberFormat="1" applyFont="1" applyFill="1" applyBorder="1" applyAlignment="1">
      <alignment horizontal="center" vertical="center" wrapText="1"/>
    </xf>
    <xf numFmtId="3" fontId="13" fillId="7" borderId="16" xfId="0" applyNumberFormat="1" applyFont="1" applyFill="1" applyBorder="1" applyAlignment="1">
      <alignment horizontal="center" vertical="center" wrapText="1"/>
    </xf>
    <xf numFmtId="15" fontId="13" fillId="7" borderId="19" xfId="0" applyNumberFormat="1" applyFont="1" applyFill="1" applyBorder="1" applyAlignment="1">
      <alignment horizontal="center" vertical="center" wrapText="1"/>
    </xf>
    <xf numFmtId="0" fontId="13" fillId="7" borderId="20" xfId="0" applyFont="1" applyFill="1" applyBorder="1" applyAlignment="1">
      <alignment horizontal="center" vertical="center" wrapText="1"/>
    </xf>
    <xf numFmtId="15" fontId="13" fillId="7" borderId="21" xfId="0" applyNumberFormat="1" applyFont="1" applyFill="1" applyBorder="1" applyAlignment="1">
      <alignment horizontal="center" vertical="center" wrapText="1"/>
    </xf>
    <xf numFmtId="3" fontId="13" fillId="7" borderId="15" xfId="0" applyNumberFormat="1" applyFont="1" applyFill="1" applyBorder="1" applyAlignment="1">
      <alignment horizontal="center" vertical="center" wrapText="1"/>
    </xf>
    <xf numFmtId="0" fontId="13" fillId="7" borderId="17" xfId="0" applyFont="1" applyFill="1" applyBorder="1" applyAlignment="1">
      <alignment horizontal="center" vertical="center" wrapText="1"/>
    </xf>
    <xf numFmtId="0" fontId="13" fillId="7" borderId="16" xfId="0" applyFont="1" applyFill="1" applyBorder="1" applyAlignment="1">
      <alignment horizontal="center" vertical="center" wrapText="1"/>
    </xf>
    <xf numFmtId="0" fontId="13" fillId="7" borderId="15" xfId="0" applyFont="1" applyFill="1" applyBorder="1" applyAlignment="1">
      <alignment horizontal="center" vertical="center" wrapText="1"/>
    </xf>
    <xf numFmtId="0" fontId="13" fillId="7" borderId="10" xfId="0" applyFont="1" applyFill="1" applyBorder="1" applyAlignment="1">
      <alignment horizontal="center" vertical="center" wrapText="1"/>
    </xf>
    <xf numFmtId="0" fontId="13" fillId="7" borderId="9" xfId="0" applyFont="1" applyFill="1" applyBorder="1" applyAlignment="1">
      <alignment horizontal="center" vertical="center" wrapText="1"/>
    </xf>
    <xf numFmtId="0" fontId="13" fillId="7" borderId="12" xfId="0" applyFont="1" applyFill="1" applyBorder="1" applyAlignment="1">
      <alignment horizontal="center" vertical="center" wrapText="1"/>
    </xf>
    <xf numFmtId="0" fontId="13" fillId="7" borderId="13" xfId="0" applyFont="1" applyFill="1" applyBorder="1" applyAlignment="1">
      <alignment horizontal="center" vertical="center" wrapText="1"/>
    </xf>
    <xf numFmtId="0" fontId="13" fillId="7" borderId="14" xfId="0" applyFont="1" applyFill="1" applyBorder="1" applyAlignment="1">
      <alignment horizontal="center" vertical="center" wrapText="1"/>
    </xf>
    <xf numFmtId="0" fontId="13" fillId="7" borderId="8" xfId="0" applyFont="1" applyFill="1" applyBorder="1" applyAlignment="1">
      <alignment horizontal="center" vertical="center" wrapText="1"/>
    </xf>
    <xf numFmtId="0" fontId="13" fillId="7" borderId="6" xfId="0" applyFont="1" applyFill="1" applyBorder="1" applyAlignment="1">
      <alignment horizontal="center" vertical="center" wrapText="1"/>
    </xf>
    <xf numFmtId="0" fontId="13" fillId="7" borderId="5" xfId="0" applyFont="1" applyFill="1" applyBorder="1" applyAlignment="1">
      <alignment horizontal="center" vertical="center" wrapText="1"/>
    </xf>
    <xf numFmtId="0" fontId="13" fillId="7" borderId="45" xfId="0" applyFont="1" applyFill="1" applyBorder="1" applyAlignment="1">
      <alignment horizontal="center" vertical="center" wrapText="1"/>
    </xf>
    <xf numFmtId="0" fontId="13" fillId="7" borderId="46" xfId="0" applyFont="1" applyFill="1" applyBorder="1" applyAlignment="1">
      <alignment horizontal="center" vertical="center" wrapText="1"/>
    </xf>
    <xf numFmtId="0" fontId="13" fillId="7" borderId="4" xfId="0" applyFont="1" applyFill="1" applyBorder="1" applyAlignment="1">
      <alignment horizontal="center" vertical="center" wrapText="1"/>
    </xf>
    <xf numFmtId="164" fontId="21" fillId="0" borderId="48" xfId="0" applyNumberFormat="1" applyFont="1" applyBorder="1" applyAlignment="1">
      <alignment horizontal="center" vertical="center"/>
    </xf>
    <xf numFmtId="164" fontId="21" fillId="0" borderId="31" xfId="0" applyNumberFormat="1" applyFont="1" applyBorder="1" applyAlignment="1">
      <alignment horizontal="center" vertical="center"/>
    </xf>
    <xf numFmtId="164" fontId="21" fillId="0" borderId="37" xfId="0" applyNumberFormat="1" applyFont="1" applyBorder="1" applyAlignment="1">
      <alignment horizontal="center" vertical="center"/>
    </xf>
    <xf numFmtId="164" fontId="16" fillId="0" borderId="49" xfId="0" applyNumberFormat="1" applyFont="1" applyBorder="1" applyAlignment="1">
      <alignment horizontal="center" vertical="center"/>
    </xf>
    <xf numFmtId="164" fontId="16" fillId="0" borderId="30" xfId="0" applyNumberFormat="1" applyFont="1" applyBorder="1" applyAlignment="1">
      <alignment horizontal="center" vertical="center"/>
    </xf>
    <xf numFmtId="164" fontId="16" fillId="0" borderId="51" xfId="0" applyNumberFormat="1" applyFont="1" applyBorder="1" applyAlignment="1">
      <alignment horizontal="center" vertical="center"/>
    </xf>
    <xf numFmtId="164" fontId="18" fillId="0" borderId="48" xfId="0" applyNumberFormat="1" applyFont="1" applyFill="1" applyBorder="1" applyAlignment="1">
      <alignment horizontal="center" vertical="center"/>
    </xf>
    <xf numFmtId="164" fontId="18" fillId="0" borderId="31" xfId="0" applyNumberFormat="1" applyFont="1" applyFill="1" applyBorder="1" applyAlignment="1">
      <alignment horizontal="center" vertical="center"/>
    </xf>
    <xf numFmtId="164" fontId="18" fillId="0" borderId="37" xfId="0" applyNumberFormat="1" applyFont="1" applyFill="1" applyBorder="1" applyAlignment="1">
      <alignment horizontal="center" vertical="center"/>
    </xf>
    <xf numFmtId="164" fontId="16" fillId="0" borderId="49" xfId="0" applyNumberFormat="1" applyFont="1" applyFill="1" applyBorder="1" applyAlignment="1">
      <alignment horizontal="center" vertical="center"/>
    </xf>
    <xf numFmtId="164" fontId="16" fillId="0" borderId="30" xfId="0" applyNumberFormat="1" applyFont="1" applyFill="1" applyBorder="1" applyAlignment="1">
      <alignment horizontal="center" vertical="center"/>
    </xf>
    <xf numFmtId="164" fontId="16" fillId="0" borderId="51" xfId="0" applyNumberFormat="1" applyFont="1" applyFill="1" applyBorder="1" applyAlignment="1">
      <alignment horizontal="center" vertical="center"/>
    </xf>
    <xf numFmtId="164" fontId="21" fillId="0" borderId="48" xfId="0" applyNumberFormat="1" applyFont="1" applyFill="1" applyBorder="1" applyAlignment="1">
      <alignment horizontal="center" vertical="center"/>
    </xf>
    <xf numFmtId="164" fontId="21" fillId="0" borderId="31" xfId="0" applyNumberFormat="1" applyFont="1" applyFill="1" applyBorder="1" applyAlignment="1">
      <alignment horizontal="center" vertical="center"/>
    </xf>
    <xf numFmtId="164" fontId="21" fillId="0" borderId="37" xfId="0" applyNumberFormat="1" applyFont="1" applyFill="1" applyBorder="1" applyAlignment="1">
      <alignment horizontal="center" vertical="center"/>
    </xf>
    <xf numFmtId="0" fontId="13" fillId="6" borderId="25" xfId="0" applyFont="1" applyFill="1" applyBorder="1" applyAlignment="1">
      <alignment horizontal="center" vertical="center" wrapText="1"/>
    </xf>
    <xf numFmtId="0" fontId="13" fillId="6" borderId="24" xfId="0" applyFont="1" applyFill="1" applyBorder="1" applyAlignment="1">
      <alignment horizontal="center" vertical="center" wrapText="1"/>
    </xf>
    <xf numFmtId="15" fontId="13" fillId="6" borderId="21" xfId="0" applyNumberFormat="1" applyFont="1" applyFill="1" applyBorder="1" applyAlignment="1">
      <alignment horizontal="center" vertical="center" wrapText="1"/>
    </xf>
    <xf numFmtId="0" fontId="13" fillId="6" borderId="20" xfId="0" applyFont="1" applyFill="1" applyBorder="1" applyAlignment="1">
      <alignment horizontal="center" vertical="center" wrapText="1"/>
    </xf>
    <xf numFmtId="0" fontId="13" fillId="9" borderId="25" xfId="0" applyFont="1" applyFill="1" applyBorder="1" applyAlignment="1">
      <alignment horizontal="center" vertical="center" wrapText="1"/>
    </xf>
    <xf numFmtId="0" fontId="13" fillId="9" borderId="24" xfId="0" applyFont="1" applyFill="1" applyBorder="1" applyAlignment="1">
      <alignment horizontal="center" vertical="center" wrapText="1"/>
    </xf>
    <xf numFmtId="3" fontId="13" fillId="7" borderId="50" xfId="0" applyNumberFormat="1" applyFont="1" applyFill="1" applyBorder="1" applyAlignment="1">
      <alignment horizontal="center" vertical="center" wrapText="1"/>
    </xf>
    <xf numFmtId="15" fontId="13" fillId="9" borderId="21" xfId="0" applyNumberFormat="1" applyFont="1" applyFill="1" applyBorder="1" applyAlignment="1">
      <alignment horizontal="center" vertical="center" wrapText="1"/>
    </xf>
    <xf numFmtId="0" fontId="13" fillId="9" borderId="20" xfId="0" applyFont="1" applyFill="1" applyBorder="1" applyAlignment="1">
      <alignment horizontal="center" vertical="center" wrapText="1"/>
    </xf>
    <xf numFmtId="3" fontId="13" fillId="6" borderId="17" xfId="0" applyNumberFormat="1" applyFont="1" applyFill="1" applyBorder="1" applyAlignment="1">
      <alignment horizontal="center" vertical="center" wrapText="1"/>
    </xf>
    <xf numFmtId="3" fontId="13" fillId="6" borderId="50" xfId="0" applyNumberFormat="1" applyFont="1" applyFill="1" applyBorder="1" applyAlignment="1">
      <alignment horizontal="center" vertical="center" wrapText="1"/>
    </xf>
    <xf numFmtId="3" fontId="13" fillId="9" borderId="17" xfId="0" applyNumberFormat="1" applyFont="1" applyFill="1" applyBorder="1" applyAlignment="1">
      <alignment horizontal="center" vertical="center" wrapText="1"/>
    </xf>
    <xf numFmtId="3" fontId="13" fillId="9" borderId="50" xfId="0" applyNumberFormat="1" applyFont="1" applyFill="1" applyBorder="1" applyAlignment="1">
      <alignment horizontal="center" vertical="center" wrapText="1"/>
    </xf>
    <xf numFmtId="0" fontId="13" fillId="7" borderId="50"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50" xfId="0" applyFont="1" applyFill="1" applyBorder="1" applyAlignment="1">
      <alignment horizontal="center" vertical="center" wrapText="1"/>
    </xf>
    <xf numFmtId="0" fontId="13" fillId="9" borderId="17" xfId="0" applyFont="1" applyFill="1" applyBorder="1" applyAlignment="1">
      <alignment horizontal="center" vertical="center" wrapText="1"/>
    </xf>
    <xf numFmtId="0" fontId="13" fillId="9" borderId="50" xfId="0" applyFont="1" applyFill="1" applyBorder="1" applyAlignment="1">
      <alignment horizontal="center" vertical="center" wrapText="1"/>
    </xf>
    <xf numFmtId="0" fontId="13" fillId="7" borderId="48" xfId="0" applyFont="1" applyFill="1" applyBorder="1" applyAlignment="1">
      <alignment horizontal="center" vertical="center" wrapText="1"/>
    </xf>
    <xf numFmtId="0" fontId="13" fillId="7" borderId="49"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10" xfId="0" applyFont="1" applyFill="1" applyBorder="1" applyAlignment="1">
      <alignment horizontal="center" vertical="center" wrapText="1"/>
    </xf>
    <xf numFmtId="0" fontId="13" fillId="6" borderId="9" xfId="0" applyFont="1" applyFill="1" applyBorder="1" applyAlignment="1">
      <alignment horizontal="center" vertical="center" wrapText="1"/>
    </xf>
    <xf numFmtId="0" fontId="13" fillId="9" borderId="48" xfId="0" applyFont="1" applyFill="1" applyBorder="1" applyAlignment="1">
      <alignment horizontal="center" vertical="center" wrapText="1"/>
    </xf>
    <xf numFmtId="0" fontId="13" fillId="9" borderId="49" xfId="0" applyFont="1" applyFill="1" applyBorder="1" applyAlignment="1">
      <alignment horizontal="center" vertical="center" wrapText="1"/>
    </xf>
    <xf numFmtId="0" fontId="13" fillId="9" borderId="10" xfId="0" applyFont="1" applyFill="1" applyBorder="1" applyAlignment="1">
      <alignment horizontal="center" vertical="center" wrapText="1"/>
    </xf>
    <xf numFmtId="0" fontId="13" fillId="9" borderId="9"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13" fillId="9" borderId="6" xfId="0" applyFont="1" applyFill="1" applyBorder="1" applyAlignment="1">
      <alignment horizontal="center" vertical="center" wrapText="1"/>
    </xf>
    <xf numFmtId="0" fontId="13" fillId="9" borderId="5" xfId="0" applyFont="1" applyFill="1" applyBorder="1" applyAlignment="1">
      <alignment horizontal="center" vertical="center" wrapText="1"/>
    </xf>
    <xf numFmtId="0" fontId="13" fillId="15" borderId="48" xfId="0" applyFont="1" applyFill="1" applyBorder="1" applyAlignment="1">
      <alignment horizontal="center" vertical="center" wrapText="1"/>
    </xf>
    <xf numFmtId="0" fontId="13" fillId="15" borderId="49" xfId="0" applyFont="1" applyFill="1" applyBorder="1" applyAlignment="1">
      <alignment horizontal="center" vertical="center" wrapText="1"/>
    </xf>
    <xf numFmtId="0" fontId="13" fillId="15" borderId="10" xfId="0" applyFont="1" applyFill="1" applyBorder="1" applyAlignment="1">
      <alignment horizontal="center" vertical="center" wrapText="1"/>
    </xf>
    <xf numFmtId="0" fontId="13" fillId="15" borderId="9" xfId="0" applyFont="1" applyFill="1" applyBorder="1" applyAlignment="1">
      <alignment horizontal="center" vertical="center" wrapText="1"/>
    </xf>
    <xf numFmtId="0" fontId="13" fillId="15" borderId="6" xfId="0" applyFont="1" applyFill="1" applyBorder="1" applyAlignment="1">
      <alignment horizontal="center" vertical="center" wrapText="1"/>
    </xf>
    <xf numFmtId="0" fontId="13" fillId="15" borderId="5" xfId="0" applyFont="1" applyFill="1" applyBorder="1" applyAlignment="1">
      <alignment horizontal="center" vertical="center" wrapText="1"/>
    </xf>
    <xf numFmtId="0" fontId="29" fillId="0" borderId="45" xfId="0" applyFont="1" applyBorder="1" applyAlignment="1">
      <alignment horizontal="center" vertical="center" wrapText="1"/>
    </xf>
    <xf numFmtId="0" fontId="29" fillId="0" borderId="46" xfId="0" applyFont="1" applyBorder="1" applyAlignment="1">
      <alignment horizontal="center" vertical="center"/>
    </xf>
    <xf numFmtId="3" fontId="13" fillId="15" borderId="17" xfId="0" applyNumberFormat="1" applyFont="1" applyFill="1" applyBorder="1" applyAlignment="1">
      <alignment horizontal="center" vertical="center" wrapText="1"/>
    </xf>
    <xf numFmtId="3" fontId="13" fillId="15" borderId="50" xfId="0" applyNumberFormat="1" applyFont="1" applyFill="1" applyBorder="1" applyAlignment="1">
      <alignment horizontal="center" vertical="center" wrapText="1"/>
    </xf>
    <xf numFmtId="0" fontId="13" fillId="15" borderId="17" xfId="0" applyFont="1" applyFill="1" applyBorder="1" applyAlignment="1">
      <alignment horizontal="center" vertical="center" wrapText="1"/>
    </xf>
    <xf numFmtId="0" fontId="13" fillId="15" borderId="50" xfId="0" applyFont="1" applyFill="1" applyBorder="1" applyAlignment="1">
      <alignment horizontal="center" vertical="center" wrapText="1"/>
    </xf>
    <xf numFmtId="0" fontId="13" fillId="15" borderId="25" xfId="0" applyFont="1" applyFill="1" applyBorder="1" applyAlignment="1">
      <alignment horizontal="center" vertical="center" wrapText="1"/>
    </xf>
    <xf numFmtId="0" fontId="13" fillId="15" borderId="24" xfId="0" applyFont="1" applyFill="1" applyBorder="1" applyAlignment="1">
      <alignment horizontal="center" vertical="center" wrapText="1"/>
    </xf>
    <xf numFmtId="15" fontId="13" fillId="15" borderId="21" xfId="0" applyNumberFormat="1" applyFont="1" applyFill="1" applyBorder="1" applyAlignment="1">
      <alignment horizontal="center" vertical="center" wrapText="1"/>
    </xf>
    <xf numFmtId="0" fontId="13" fillId="15" borderId="20" xfId="0" applyFont="1" applyFill="1" applyBorder="1" applyAlignment="1">
      <alignment horizontal="center" vertical="center" wrapText="1"/>
    </xf>
    <xf numFmtId="0" fontId="30" fillId="7" borderId="10" xfId="0" applyFont="1" applyFill="1" applyBorder="1" applyAlignment="1">
      <alignment horizontal="center" vertical="center" wrapText="1"/>
    </xf>
    <xf numFmtId="0" fontId="30" fillId="7" borderId="9" xfId="0" applyFont="1" applyFill="1" applyBorder="1" applyAlignment="1">
      <alignment horizontal="center" vertical="center" wrapText="1"/>
    </xf>
    <xf numFmtId="0" fontId="29" fillId="0" borderId="6" xfId="0" applyFont="1" applyBorder="1" applyAlignment="1">
      <alignment horizontal="center"/>
    </xf>
    <xf numFmtId="0" fontId="29" fillId="0" borderId="5" xfId="0" applyFont="1" applyBorder="1" applyAlignment="1">
      <alignment horizontal="center"/>
    </xf>
    <xf numFmtId="0" fontId="13" fillId="16" borderId="6" xfId="0" applyFont="1" applyFill="1" applyBorder="1" applyAlignment="1">
      <alignment horizontal="center" vertical="center" wrapText="1"/>
    </xf>
    <xf numFmtId="0" fontId="13" fillId="16" borderId="5" xfId="0" applyFont="1" applyFill="1" applyBorder="1" applyAlignment="1">
      <alignment horizontal="center" vertical="center" wrapText="1"/>
    </xf>
    <xf numFmtId="0" fontId="13" fillId="10" borderId="17" xfId="0" applyFont="1" applyFill="1" applyBorder="1" applyAlignment="1">
      <alignment horizontal="center" vertical="center" wrapText="1"/>
    </xf>
    <xf numFmtId="0" fontId="13" fillId="10" borderId="50" xfId="0" applyFont="1" applyFill="1" applyBorder="1" applyAlignment="1">
      <alignment horizontal="center" vertical="center" wrapText="1"/>
    </xf>
    <xf numFmtId="0" fontId="13" fillId="16" borderId="48" xfId="0" applyFont="1" applyFill="1" applyBorder="1" applyAlignment="1">
      <alignment horizontal="center" vertical="center" wrapText="1"/>
    </xf>
    <xf numFmtId="0" fontId="13" fillId="16" borderId="49" xfId="0" applyFont="1" applyFill="1" applyBorder="1" applyAlignment="1">
      <alignment horizontal="center" vertical="center" wrapText="1"/>
    </xf>
    <xf numFmtId="0" fontId="13" fillId="10" borderId="45" xfId="0" applyFont="1" applyFill="1" applyBorder="1" applyAlignment="1">
      <alignment horizontal="center" vertical="center" wrapText="1"/>
    </xf>
    <xf numFmtId="0" fontId="13" fillId="10" borderId="46" xfId="0" applyFont="1" applyFill="1" applyBorder="1" applyAlignment="1">
      <alignment horizontal="center" vertical="center" wrapText="1"/>
    </xf>
    <xf numFmtId="0" fontId="13" fillId="16" borderId="10" xfId="0" applyFont="1" applyFill="1" applyBorder="1" applyAlignment="1">
      <alignment horizontal="center" vertical="center" wrapText="1"/>
    </xf>
    <xf numFmtId="0" fontId="13" fillId="16" borderId="9" xfId="0" applyFont="1" applyFill="1" applyBorder="1" applyAlignment="1">
      <alignment horizontal="center" vertical="center" wrapText="1"/>
    </xf>
    <xf numFmtId="3" fontId="13" fillId="10" borderId="17" xfId="0" applyNumberFormat="1" applyFont="1" applyFill="1" applyBorder="1" applyAlignment="1">
      <alignment horizontal="center" vertical="center" wrapText="1"/>
    </xf>
    <xf numFmtId="3" fontId="13" fillId="10" borderId="50" xfId="0" applyNumberFormat="1" applyFont="1" applyFill="1" applyBorder="1" applyAlignment="1">
      <alignment horizontal="center" vertical="center" wrapText="1"/>
    </xf>
    <xf numFmtId="0" fontId="13" fillId="16" borderId="17" xfId="0" applyFont="1" applyFill="1" applyBorder="1" applyAlignment="1">
      <alignment horizontal="center" vertical="center" wrapText="1"/>
    </xf>
    <xf numFmtId="0" fontId="13" fillId="16" borderId="50" xfId="0" applyFont="1" applyFill="1" applyBorder="1" applyAlignment="1">
      <alignment horizontal="center" vertical="center" wrapText="1"/>
    </xf>
    <xf numFmtId="3" fontId="13" fillId="16" borderId="17" xfId="0" applyNumberFormat="1" applyFont="1" applyFill="1" applyBorder="1" applyAlignment="1">
      <alignment horizontal="center" vertical="center" wrapText="1"/>
    </xf>
    <xf numFmtId="3" fontId="13" fillId="16" borderId="50" xfId="0" applyNumberFormat="1" applyFont="1" applyFill="1" applyBorder="1" applyAlignment="1">
      <alignment horizontal="center" vertical="center" wrapText="1"/>
    </xf>
    <xf numFmtId="3" fontId="13" fillId="16" borderId="47" xfId="0" applyNumberFormat="1" applyFont="1" applyFill="1" applyBorder="1" applyAlignment="1">
      <alignment horizontal="center" vertical="center" wrapText="1"/>
    </xf>
    <xf numFmtId="3" fontId="13" fillId="16" borderId="57" xfId="0" applyNumberFormat="1" applyFont="1" applyFill="1" applyBorder="1" applyAlignment="1">
      <alignment horizontal="center" vertical="center" wrapText="1"/>
    </xf>
    <xf numFmtId="15" fontId="13" fillId="10" borderId="21" xfId="0" applyNumberFormat="1" applyFont="1" applyFill="1" applyBorder="1" applyAlignment="1">
      <alignment horizontal="center" vertical="center" wrapText="1"/>
    </xf>
    <xf numFmtId="15" fontId="13" fillId="10" borderId="20" xfId="0" applyNumberFormat="1" applyFont="1" applyFill="1" applyBorder="1" applyAlignment="1">
      <alignment horizontal="center" vertical="center" wrapText="1"/>
    </xf>
    <xf numFmtId="15" fontId="13" fillId="16" borderId="21" xfId="0" applyNumberFormat="1" applyFont="1" applyFill="1" applyBorder="1" applyAlignment="1">
      <alignment horizontal="center" vertical="center" wrapText="1"/>
    </xf>
    <xf numFmtId="0" fontId="13" fillId="16" borderId="20" xfId="0" applyFont="1" applyFill="1" applyBorder="1" applyAlignment="1">
      <alignment horizontal="center" vertical="center" wrapText="1"/>
    </xf>
    <xf numFmtId="15" fontId="13" fillId="16" borderId="20" xfId="0" applyNumberFormat="1" applyFont="1" applyFill="1" applyBorder="1" applyAlignment="1">
      <alignment horizontal="center" vertical="center" wrapText="1"/>
    </xf>
    <xf numFmtId="0" fontId="13" fillId="16" borderId="25" xfId="0" applyFont="1" applyFill="1" applyBorder="1" applyAlignment="1">
      <alignment horizontal="center" vertical="center" wrapText="1"/>
    </xf>
    <xf numFmtId="0" fontId="13" fillId="16" borderId="24" xfId="0" applyFont="1" applyFill="1" applyBorder="1" applyAlignment="1">
      <alignment horizontal="center" vertical="center" wrapText="1"/>
    </xf>
    <xf numFmtId="3" fontId="29" fillId="0" borderId="21" xfId="0" applyNumberFormat="1" applyFont="1" applyBorder="1" applyAlignment="1">
      <alignment horizontal="center" vertical="center"/>
    </xf>
    <xf numFmtId="3" fontId="29" fillId="0" borderId="20" xfId="0" applyNumberFormat="1" applyFont="1" applyBorder="1" applyAlignment="1">
      <alignment horizontal="center" vertical="center"/>
    </xf>
    <xf numFmtId="0" fontId="14" fillId="8" borderId="59" xfId="0" applyFont="1" applyFill="1" applyBorder="1" applyAlignment="1">
      <alignment horizontal="center"/>
    </xf>
    <xf numFmtId="0" fontId="14" fillId="8" borderId="0" xfId="0" applyFont="1" applyFill="1" applyAlignment="1">
      <alignment horizontal="center"/>
    </xf>
    <xf numFmtId="0" fontId="13" fillId="10" borderId="25" xfId="0" applyFont="1" applyFill="1" applyBorder="1" applyAlignment="1">
      <alignment horizontal="center" vertical="center" wrapText="1"/>
    </xf>
    <xf numFmtId="0" fontId="13" fillId="10" borderId="24" xfId="0" applyFont="1" applyFill="1" applyBorder="1" applyAlignment="1">
      <alignment horizontal="center" vertical="center" wrapText="1"/>
    </xf>
    <xf numFmtId="0" fontId="13" fillId="11" borderId="47" xfId="0" applyFont="1" applyFill="1" applyBorder="1" applyAlignment="1">
      <alignment horizontal="center" vertical="center" wrapText="1"/>
    </xf>
    <xf numFmtId="0" fontId="13" fillId="11" borderId="57" xfId="0" applyFont="1" applyFill="1" applyBorder="1" applyAlignment="1">
      <alignment horizontal="center" vertical="center" wrapText="1"/>
    </xf>
    <xf numFmtId="0" fontId="32" fillId="11" borderId="47" xfId="0" applyFont="1" applyFill="1" applyBorder="1" applyAlignment="1">
      <alignment horizontal="center" vertical="center" wrapText="1"/>
    </xf>
    <xf numFmtId="0" fontId="32" fillId="11" borderId="57" xfId="0" applyFont="1" applyFill="1" applyBorder="1" applyAlignment="1">
      <alignment horizontal="center" vertical="center" wrapText="1"/>
    </xf>
    <xf numFmtId="0" fontId="13" fillId="0" borderId="26" xfId="0" applyFont="1" applyBorder="1" applyAlignment="1">
      <alignment horizontal="center" vertical="center" wrapText="1"/>
    </xf>
    <xf numFmtId="0" fontId="13" fillId="0" borderId="32" xfId="0" applyFont="1" applyBorder="1" applyAlignment="1">
      <alignment horizontal="center" vertical="center" wrapText="1"/>
    </xf>
    <xf numFmtId="0" fontId="13" fillId="7" borderId="70" xfId="0" applyFont="1" applyFill="1" applyBorder="1" applyAlignment="1">
      <alignment horizontal="center" vertical="center" wrapText="1"/>
    </xf>
    <xf numFmtId="164" fontId="30" fillId="0" borderId="37" xfId="0" applyNumberFormat="1" applyFont="1" applyBorder="1" applyAlignment="1">
      <alignment horizontal="center" vertical="center"/>
    </xf>
    <xf numFmtId="164" fontId="30" fillId="0" borderId="10" xfId="0" applyNumberFormat="1" applyFont="1" applyBorder="1" applyAlignment="1">
      <alignment horizontal="center" vertical="center"/>
    </xf>
    <xf numFmtId="164" fontId="30" fillId="0" borderId="48" xfId="0" applyNumberFormat="1" applyFont="1" applyBorder="1" applyAlignment="1">
      <alignment horizontal="center" vertical="center"/>
    </xf>
    <xf numFmtId="0" fontId="13" fillId="15" borderId="36" xfId="0" applyFont="1" applyFill="1" applyBorder="1" applyAlignment="1">
      <alignment horizontal="center" vertical="center" wrapText="1"/>
    </xf>
    <xf numFmtId="0" fontId="13" fillId="7" borderId="75" xfId="0" applyFont="1" applyFill="1" applyBorder="1" applyAlignment="1">
      <alignment horizontal="center" vertical="center" wrapText="1"/>
    </xf>
    <xf numFmtId="0" fontId="40" fillId="17" borderId="0" xfId="8" applyFill="1"/>
    <xf numFmtId="0" fontId="40" fillId="2" borderId="0" xfId="8" applyFill="1" applyAlignment="1"/>
  </cellXfs>
  <cellStyles count="9">
    <cellStyle name="Hyperlink" xfId="8" builtinId="8"/>
    <cellStyle name="Normal" xfId="0" builtinId="0"/>
    <cellStyle name="Normal_profile meta data" xfId="6" xr:uid="{00000000-0005-0000-0000-000002000000}"/>
    <cellStyle name="Normal_PROFILES" xfId="1" xr:uid="{00000000-0005-0000-0000-000003000000}"/>
    <cellStyle name="Normal_PROFILES_1" xfId="2" xr:uid="{00000000-0005-0000-0000-000004000000}"/>
    <cellStyle name="Normal_Sheet1" xfId="4" xr:uid="{00000000-0005-0000-0000-000005000000}"/>
    <cellStyle name="Normal_Sheet2" xfId="5" xr:uid="{00000000-0005-0000-0000-000006000000}"/>
    <cellStyle name="Normal_SPECIES" xfId="3" xr:uid="{00000000-0005-0000-0000-000007000000}"/>
    <cellStyle name="Percent" xfId="7"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9</xdr:col>
          <xdr:colOff>469900</xdr:colOff>
          <xdr:row>45</xdr:row>
          <xdr:rowOff>38100</xdr:rowOff>
        </xdr:to>
        <xdr:sp macro="" textlink="">
          <xdr:nvSpPr>
            <xdr:cNvPr id="10241" name="Object 1" hidden="1">
              <a:extLst>
                <a:ext uri="{63B3BB69-23CF-44E3-9099-C40C66FF867C}">
                  <a14:compatExt spid="_x0000_s10241"/>
                </a:ext>
                <a:ext uri="{FF2B5EF4-FFF2-40B4-BE49-F238E27FC236}">
                  <a16:creationId xmlns:a16="http://schemas.microsoft.com/office/drawing/2014/main" id="{E8A81B6C-F2CF-4D91-9FBE-0986A26C436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NULL"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ftp://newftp.epa.gov/air/emismod/SPECIATE_supportingdata/v5_1/QSCORE-PAOILGAS2020.docx" TargetMode="External"/><Relationship Id="rId1" Type="http://schemas.openxmlformats.org/officeDocument/2006/relationships/hyperlink" Target="NULL"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85"/>
  <sheetViews>
    <sheetView workbookViewId="0">
      <selection activeCell="G15" sqref="G15"/>
    </sheetView>
  </sheetViews>
  <sheetFormatPr defaultColWidth="9.1796875" defaultRowHeight="14.5" x14ac:dyDescent="0.35"/>
  <cols>
    <col min="1" max="16384" width="9.1796875" style="17"/>
  </cols>
  <sheetData>
    <row r="2" spans="1:1" x14ac:dyDescent="0.35">
      <c r="A2" s="17" t="s">
        <v>68</v>
      </c>
    </row>
    <row r="3" spans="1:1" x14ac:dyDescent="0.35">
      <c r="A3" s="17" t="s">
        <v>69</v>
      </c>
    </row>
    <row r="4" spans="1:1" x14ac:dyDescent="0.35">
      <c r="A4" s="17" t="s">
        <v>70</v>
      </c>
    </row>
    <row r="5" spans="1:1" x14ac:dyDescent="0.35">
      <c r="A5" s="17" t="s">
        <v>71</v>
      </c>
    </row>
    <row r="6" spans="1:1" x14ac:dyDescent="0.35">
      <c r="A6" s="17" t="s">
        <v>72</v>
      </c>
    </row>
    <row r="8" spans="1:1" x14ac:dyDescent="0.35">
      <c r="A8" s="17" t="s">
        <v>73</v>
      </c>
    </row>
    <row r="10" spans="1:1" x14ac:dyDescent="0.35">
      <c r="A10" s="17" t="s">
        <v>74</v>
      </c>
    </row>
    <row r="11" spans="1:1" x14ac:dyDescent="0.35">
      <c r="A11" s="17" t="s">
        <v>75</v>
      </c>
    </row>
    <row r="12" spans="1:1" x14ac:dyDescent="0.35">
      <c r="A12" s="17" t="s">
        <v>76</v>
      </c>
    </row>
    <row r="13" spans="1:1" x14ac:dyDescent="0.35">
      <c r="A13" s="17" t="s">
        <v>77</v>
      </c>
    </row>
    <row r="14" spans="1:1" x14ac:dyDescent="0.35">
      <c r="A14" s="17" t="s">
        <v>78</v>
      </c>
    </row>
    <row r="15" spans="1:1" x14ac:dyDescent="0.35">
      <c r="A15" s="17" t="s">
        <v>79</v>
      </c>
    </row>
    <row r="16" spans="1:1" x14ac:dyDescent="0.35">
      <c r="A16" s="17" t="s">
        <v>80</v>
      </c>
    </row>
    <row r="17" spans="1:1" x14ac:dyDescent="0.35">
      <c r="A17" s="17" t="s">
        <v>81</v>
      </c>
    </row>
    <row r="18" spans="1:1" x14ac:dyDescent="0.35">
      <c r="A18" s="17" t="s">
        <v>82</v>
      </c>
    </row>
    <row r="19" spans="1:1" x14ac:dyDescent="0.35">
      <c r="A19" s="17" t="s">
        <v>83</v>
      </c>
    </row>
    <row r="20" spans="1:1" x14ac:dyDescent="0.35">
      <c r="A20" s="17" t="s">
        <v>84</v>
      </c>
    </row>
    <row r="22" spans="1:1" x14ac:dyDescent="0.35">
      <c r="A22" s="17" t="s">
        <v>85</v>
      </c>
    </row>
    <row r="24" spans="1:1" x14ac:dyDescent="0.35">
      <c r="A24" s="17" t="s">
        <v>86</v>
      </c>
    </row>
    <row r="26" spans="1:1" x14ac:dyDescent="0.35">
      <c r="A26" s="17" t="s">
        <v>4</v>
      </c>
    </row>
    <row r="27" spans="1:1" x14ac:dyDescent="0.35">
      <c r="A27" s="17" t="s">
        <v>87</v>
      </c>
    </row>
    <row r="30" spans="1:1" x14ac:dyDescent="0.35">
      <c r="A30" s="362" t="s">
        <v>422</v>
      </c>
    </row>
    <row r="31" spans="1:1" x14ac:dyDescent="0.35">
      <c r="A31" s="362" t="s">
        <v>423</v>
      </c>
    </row>
    <row r="32" spans="1:1" x14ac:dyDescent="0.35">
      <c r="A32" s="362" t="s">
        <v>424</v>
      </c>
    </row>
    <row r="33" spans="1:1" x14ac:dyDescent="0.35">
      <c r="A33" s="362" t="s">
        <v>425</v>
      </c>
    </row>
    <row r="34" spans="1:1" x14ac:dyDescent="0.35">
      <c r="A34" s="362" t="s">
        <v>426</v>
      </c>
    </row>
    <row r="35" spans="1:1" x14ac:dyDescent="0.35">
      <c r="A35" s="363"/>
    </row>
    <row r="36" spans="1:1" x14ac:dyDescent="0.35">
      <c r="A36" s="364" t="s">
        <v>427</v>
      </c>
    </row>
    <row r="37" spans="1:1" ht="15.5" x14ac:dyDescent="0.35">
      <c r="A37" s="365"/>
    </row>
    <row r="38" spans="1:1" x14ac:dyDescent="0.35">
      <c r="A38" s="363" t="s">
        <v>428</v>
      </c>
    </row>
    <row r="39" spans="1:1" x14ac:dyDescent="0.35">
      <c r="A39" s="363"/>
    </row>
    <row r="40" spans="1:1" x14ac:dyDescent="0.35">
      <c r="A40" s="363" t="s">
        <v>429</v>
      </c>
    </row>
    <row r="41" spans="1:1" x14ac:dyDescent="0.35">
      <c r="A41" s="366" t="s">
        <v>430</v>
      </c>
    </row>
    <row r="42" spans="1:1" x14ac:dyDescent="0.35">
      <c r="A42" s="366" t="s">
        <v>431</v>
      </c>
    </row>
    <row r="43" spans="1:1" x14ac:dyDescent="0.35">
      <c r="A43" s="366" t="s">
        <v>432</v>
      </c>
    </row>
    <row r="44" spans="1:1" x14ac:dyDescent="0.35">
      <c r="A44" s="363" t="s">
        <v>433</v>
      </c>
    </row>
    <row r="45" spans="1:1" x14ac:dyDescent="0.35">
      <c r="A45" s="363"/>
    </row>
    <row r="46" spans="1:1" x14ac:dyDescent="0.35">
      <c r="A46" s="363" t="s">
        <v>434</v>
      </c>
    </row>
    <row r="47" spans="1:1" x14ac:dyDescent="0.35">
      <c r="A47" s="366" t="s">
        <v>435</v>
      </c>
    </row>
    <row r="48" spans="1:1" x14ac:dyDescent="0.35">
      <c r="A48" s="366" t="s">
        <v>436</v>
      </c>
    </row>
    <row r="49" spans="1:1" x14ac:dyDescent="0.35">
      <c r="A49" s="367" t="s">
        <v>437</v>
      </c>
    </row>
    <row r="50" spans="1:1" x14ac:dyDescent="0.35">
      <c r="A50" s="368" t="s">
        <v>438</v>
      </c>
    </row>
    <row r="51" spans="1:1" ht="16.5" x14ac:dyDescent="0.35">
      <c r="A51" s="367" t="s">
        <v>439</v>
      </c>
    </row>
    <row r="52" spans="1:1" x14ac:dyDescent="0.35">
      <c r="A52" s="367" t="s">
        <v>440</v>
      </c>
    </row>
    <row r="53" spans="1:1" x14ac:dyDescent="0.35">
      <c r="A53" s="366" t="s">
        <v>441</v>
      </c>
    </row>
    <row r="54" spans="1:1" x14ac:dyDescent="0.35">
      <c r="A54" s="367" t="s">
        <v>442</v>
      </c>
    </row>
    <row r="55" spans="1:1" x14ac:dyDescent="0.35">
      <c r="A55" s="366" t="s">
        <v>443</v>
      </c>
    </row>
    <row r="56" spans="1:1" x14ac:dyDescent="0.35">
      <c r="A56" s="367" t="s">
        <v>444</v>
      </c>
    </row>
    <row r="57" spans="1:1" x14ac:dyDescent="0.35">
      <c r="A57" s="366" t="s">
        <v>445</v>
      </c>
    </row>
    <row r="58" spans="1:1" x14ac:dyDescent="0.35">
      <c r="A58" s="367" t="s">
        <v>446</v>
      </c>
    </row>
    <row r="59" spans="1:1" x14ac:dyDescent="0.35">
      <c r="A59" s="366" t="s">
        <v>447</v>
      </c>
    </row>
    <row r="60" spans="1:1" x14ac:dyDescent="0.35">
      <c r="A60" s="367" t="s">
        <v>448</v>
      </c>
    </row>
    <row r="61" spans="1:1" x14ac:dyDescent="0.35">
      <c r="A61" s="367" t="s">
        <v>449</v>
      </c>
    </row>
    <row r="62" spans="1:1" x14ac:dyDescent="0.35">
      <c r="A62" s="367" t="s">
        <v>450</v>
      </c>
    </row>
    <row r="63" spans="1:1" x14ac:dyDescent="0.35">
      <c r="A63" s="367" t="s">
        <v>451</v>
      </c>
    </row>
    <row r="64" spans="1:1" x14ac:dyDescent="0.35">
      <c r="A64" s="367" t="s">
        <v>452</v>
      </c>
    </row>
    <row r="65" spans="1:1" x14ac:dyDescent="0.35">
      <c r="A65" s="367" t="s">
        <v>453</v>
      </c>
    </row>
    <row r="66" spans="1:1" x14ac:dyDescent="0.35">
      <c r="A66" s="366" t="s">
        <v>454</v>
      </c>
    </row>
    <row r="67" spans="1:1" x14ac:dyDescent="0.35">
      <c r="A67" s="367" t="s">
        <v>455</v>
      </c>
    </row>
    <row r="68" spans="1:1" x14ac:dyDescent="0.35">
      <c r="A68" s="367" t="s">
        <v>456</v>
      </c>
    </row>
    <row r="69" spans="1:1" x14ac:dyDescent="0.35">
      <c r="A69" s="367" t="s">
        <v>457</v>
      </c>
    </row>
    <row r="70" spans="1:1" x14ac:dyDescent="0.35">
      <c r="A70" s="367" t="s">
        <v>458</v>
      </c>
    </row>
    <row r="71" spans="1:1" x14ac:dyDescent="0.35">
      <c r="A71" s="367" t="s">
        <v>459</v>
      </c>
    </row>
    <row r="72" spans="1:1" x14ac:dyDescent="0.35">
      <c r="A72" s="366" t="s">
        <v>460</v>
      </c>
    </row>
    <row r="73" spans="1:1" x14ac:dyDescent="0.35">
      <c r="A73" s="367" t="s">
        <v>461</v>
      </c>
    </row>
    <row r="74" spans="1:1" x14ac:dyDescent="0.35">
      <c r="A74" s="366" t="s">
        <v>462</v>
      </c>
    </row>
    <row r="75" spans="1:1" x14ac:dyDescent="0.35">
      <c r="A75" s="367" t="s">
        <v>463</v>
      </c>
    </row>
    <row r="76" spans="1:1" x14ac:dyDescent="0.35">
      <c r="A76" s="367" t="s">
        <v>464</v>
      </c>
    </row>
    <row r="77" spans="1:1" x14ac:dyDescent="0.35">
      <c r="A77" s="366" t="s">
        <v>465</v>
      </c>
    </row>
    <row r="78" spans="1:1" x14ac:dyDescent="0.35">
      <c r="A78" s="367" t="s">
        <v>466</v>
      </c>
    </row>
    <row r="79" spans="1:1" x14ac:dyDescent="0.35">
      <c r="A79" s="367" t="s">
        <v>467</v>
      </c>
    </row>
    <row r="80" spans="1:1" x14ac:dyDescent="0.35">
      <c r="A80" s="367" t="s">
        <v>468</v>
      </c>
    </row>
    <row r="81" spans="1:1" x14ac:dyDescent="0.35">
      <c r="A81" s="367" t="s">
        <v>469</v>
      </c>
    </row>
    <row r="82" spans="1:1" x14ac:dyDescent="0.35">
      <c r="A82" s="367" t="s">
        <v>470</v>
      </c>
    </row>
    <row r="83" spans="1:1" x14ac:dyDescent="0.35">
      <c r="A83" s="367" t="s">
        <v>471</v>
      </c>
    </row>
    <row r="84" spans="1:1" x14ac:dyDescent="0.35">
      <c r="A84" s="366" t="s">
        <v>472</v>
      </c>
    </row>
    <row r="85" spans="1:1" x14ac:dyDescent="0.35">
      <c r="A85" t="s">
        <v>473</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2"/>
  <sheetViews>
    <sheetView workbookViewId="0">
      <selection activeCell="D20" sqref="D20"/>
    </sheetView>
  </sheetViews>
  <sheetFormatPr defaultRowHeight="14.5" x14ac:dyDescent="0.35"/>
  <cols>
    <col min="1" max="1" width="22.453125" customWidth="1"/>
    <col min="2" max="2" width="35.453125" customWidth="1"/>
    <col min="3" max="3" width="27.54296875" customWidth="1"/>
    <col min="4" max="4" width="41.26953125" customWidth="1"/>
  </cols>
  <sheetData>
    <row r="1" spans="1:4" x14ac:dyDescent="0.35">
      <c r="A1" s="12" t="s">
        <v>60</v>
      </c>
      <c r="B1" s="12" t="s">
        <v>61</v>
      </c>
      <c r="C1" s="12" t="s">
        <v>62</v>
      </c>
      <c r="D1" s="12" t="s">
        <v>63</v>
      </c>
    </row>
    <row r="2" spans="1:4" x14ac:dyDescent="0.35">
      <c r="A2" s="375" t="s">
        <v>500</v>
      </c>
      <c r="B2" s="375" t="s">
        <v>503</v>
      </c>
      <c r="C2" s="375" t="s">
        <v>501</v>
      </c>
      <c r="D2" s="509" t="s">
        <v>502</v>
      </c>
    </row>
  </sheetData>
  <hyperlinks>
    <hyperlink ref="D2" r:id="rId1" xr:uid="{3C665A76-2DB7-4095-8CCC-16262A963BA7}"/>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D2126-D044-412B-AEEB-90DCC71D460C}">
  <dimension ref="A1"/>
  <sheetViews>
    <sheetView workbookViewId="0">
      <selection activeCell="N15" sqref="N15"/>
    </sheetView>
  </sheetViews>
  <sheetFormatPr defaultRowHeight="14.5" x14ac:dyDescent="0.35"/>
  <sheetData/>
  <pageMargins left="0.7" right="0.7" top="0.75" bottom="0.75" header="0.3" footer="0.3"/>
  <pageSetup orientation="portrait" r:id="rId1"/>
  <drawing r:id="rId2"/>
  <legacyDrawing r:id="rId3"/>
  <oleObjects>
    <mc:AlternateContent xmlns:mc="http://schemas.openxmlformats.org/markup-compatibility/2006">
      <mc:Choice Requires="x14">
        <oleObject progId="Word.Document.12" shapeId="10241" r:id="rId4">
          <objectPr defaultSize="0" r:id="rId5">
            <anchor moveWithCells="1">
              <from>
                <xdr:col>0</xdr:col>
                <xdr:colOff>0</xdr:colOff>
                <xdr:row>0</xdr:row>
                <xdr:rowOff>0</xdr:rowOff>
              </from>
              <to>
                <xdr:col>9</xdr:col>
                <xdr:colOff>469900</xdr:colOff>
                <xdr:row>45</xdr:row>
                <xdr:rowOff>38100</xdr:rowOff>
              </to>
            </anchor>
          </objectPr>
        </oleObject>
      </mc:Choice>
      <mc:Fallback>
        <oleObject progId="Word.Document.12" shapeId="10241"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O58"/>
  <sheetViews>
    <sheetView zoomScale="80" zoomScaleNormal="80" workbookViewId="0">
      <pane xSplit="2" ySplit="12" topLeftCell="C19" activePane="bottomRight" state="frozen"/>
      <selection pane="topRight" activeCell="B1" sqref="B1"/>
      <selection pane="bottomLeft" activeCell="A11" sqref="A11"/>
      <selection pane="bottomRight" activeCell="B1" sqref="B1"/>
    </sheetView>
  </sheetViews>
  <sheetFormatPr defaultColWidth="9.1796875" defaultRowHeight="14.5" x14ac:dyDescent="0.35"/>
  <cols>
    <col min="1" max="1" width="9.1796875" style="17"/>
    <col min="2" max="2" width="23.54296875" style="17" customWidth="1"/>
    <col min="3" max="20" width="10" style="17" customWidth="1"/>
    <col min="21" max="21" width="9.54296875" style="17" bestFit="1" customWidth="1"/>
    <col min="22" max="22" width="9.1796875" style="17"/>
    <col min="23" max="25" width="14.26953125" style="24" customWidth="1"/>
    <col min="26" max="26" width="9.1796875" style="17" customWidth="1"/>
    <col min="27" max="27" width="23.54296875" style="17" customWidth="1"/>
    <col min="28" max="29" width="10" style="17" customWidth="1"/>
    <col min="30" max="31" width="10.7265625" style="17" hidden="1" customWidth="1"/>
    <col min="32" max="42" width="9.1796875" style="17" hidden="1" customWidth="1"/>
    <col min="43" max="43" width="0" style="17" hidden="1" customWidth="1"/>
    <col min="44" max="45" width="9.1796875" style="17"/>
    <col min="46" max="46" width="23.54296875" style="17" customWidth="1"/>
    <col min="47" max="48" width="10" style="17" customWidth="1"/>
    <col min="49" max="60" width="10" style="17" hidden="1" customWidth="1"/>
    <col min="61" max="62" width="10" style="17" customWidth="1"/>
    <col min="63" max="63" width="14.26953125" style="24" customWidth="1"/>
    <col min="64" max="64" width="11.7265625" style="17" customWidth="1"/>
    <col min="65" max="65" width="10" style="17" customWidth="1"/>
    <col min="66" max="16384" width="9.1796875" style="17"/>
  </cols>
  <sheetData>
    <row r="1" spans="1:67" x14ac:dyDescent="0.35">
      <c r="B1" s="1" t="s">
        <v>491</v>
      </c>
      <c r="C1" s="17" t="s">
        <v>76</v>
      </c>
      <c r="E1" s="17" t="s">
        <v>77</v>
      </c>
      <c r="G1" s="17" t="s">
        <v>492</v>
      </c>
      <c r="I1" s="17" t="s">
        <v>80</v>
      </c>
      <c r="K1" s="17" t="s">
        <v>493</v>
      </c>
      <c r="M1" s="17" t="s">
        <v>82</v>
      </c>
      <c r="O1" s="17" t="s">
        <v>494</v>
      </c>
      <c r="Q1" s="17" t="s">
        <v>78</v>
      </c>
      <c r="S1" s="17" t="s">
        <v>84</v>
      </c>
    </row>
    <row r="2" spans="1:67" ht="15" thickBot="1" x14ac:dyDescent="0.4"/>
    <row r="3" spans="1:67" ht="15" customHeight="1" x14ac:dyDescent="0.35">
      <c r="B3" s="23" t="s">
        <v>88</v>
      </c>
      <c r="C3" s="398" t="s">
        <v>89</v>
      </c>
      <c r="D3" s="395"/>
      <c r="E3" s="394" t="s">
        <v>90</v>
      </c>
      <c r="F3" s="395"/>
      <c r="G3" s="394" t="s">
        <v>91</v>
      </c>
      <c r="H3" s="395"/>
      <c r="I3" s="394" t="s">
        <v>91</v>
      </c>
      <c r="J3" s="395"/>
      <c r="K3" s="394" t="s">
        <v>91</v>
      </c>
      <c r="L3" s="395"/>
      <c r="M3" s="394" t="s">
        <v>91</v>
      </c>
      <c r="N3" s="395"/>
      <c r="O3" s="394" t="s">
        <v>91</v>
      </c>
      <c r="P3" s="395"/>
      <c r="Q3" s="396" t="s">
        <v>167</v>
      </c>
      <c r="R3" s="397"/>
      <c r="S3" s="394" t="s">
        <v>91</v>
      </c>
      <c r="T3" s="395"/>
      <c r="Y3" s="372" t="s">
        <v>476</v>
      </c>
      <c r="AA3" s="23" t="s">
        <v>88</v>
      </c>
      <c r="AB3" s="72" t="s">
        <v>167</v>
      </c>
      <c r="AC3" s="73"/>
      <c r="AT3" s="23" t="s">
        <v>88</v>
      </c>
      <c r="AU3" s="398" t="s">
        <v>89</v>
      </c>
      <c r="AV3" s="395"/>
      <c r="AW3" s="394" t="s">
        <v>90</v>
      </c>
      <c r="AX3" s="395"/>
      <c r="AY3" s="394" t="s">
        <v>91</v>
      </c>
      <c r="AZ3" s="395"/>
      <c r="BA3" s="394" t="s">
        <v>91</v>
      </c>
      <c r="BB3" s="395"/>
      <c r="BC3" s="394" t="s">
        <v>91</v>
      </c>
      <c r="BD3" s="395"/>
      <c r="BE3" s="394" t="s">
        <v>91</v>
      </c>
      <c r="BF3" s="395"/>
      <c r="BG3" s="394" t="s">
        <v>91</v>
      </c>
      <c r="BH3" s="395"/>
      <c r="BI3" s="394" t="s">
        <v>91</v>
      </c>
      <c r="BJ3" s="395"/>
      <c r="BL3" s="396" t="s">
        <v>167</v>
      </c>
      <c r="BM3" s="397"/>
    </row>
    <row r="4" spans="1:67" x14ac:dyDescent="0.35">
      <c r="B4" s="25" t="s">
        <v>92</v>
      </c>
      <c r="C4" s="393" t="s">
        <v>93</v>
      </c>
      <c r="D4" s="389"/>
      <c r="E4" s="388" t="s">
        <v>93</v>
      </c>
      <c r="F4" s="389"/>
      <c r="G4" s="388" t="s">
        <v>93</v>
      </c>
      <c r="H4" s="389"/>
      <c r="I4" s="388" t="s">
        <v>93</v>
      </c>
      <c r="J4" s="389"/>
      <c r="K4" s="388" t="s">
        <v>93</v>
      </c>
      <c r="L4" s="389"/>
      <c r="M4" s="388" t="s">
        <v>93</v>
      </c>
      <c r="N4" s="389"/>
      <c r="O4" s="388" t="s">
        <v>93</v>
      </c>
      <c r="P4" s="389"/>
      <c r="Q4" s="385" t="s">
        <v>93</v>
      </c>
      <c r="R4" s="386"/>
      <c r="S4" s="388" t="s">
        <v>93</v>
      </c>
      <c r="T4" s="389"/>
      <c r="Y4" s="372" t="s">
        <v>474</v>
      </c>
      <c r="AA4" s="25" t="s">
        <v>92</v>
      </c>
      <c r="AB4" s="74" t="s">
        <v>93</v>
      </c>
      <c r="AC4" s="75"/>
      <c r="AT4" s="25" t="s">
        <v>92</v>
      </c>
      <c r="AU4" s="393" t="s">
        <v>93</v>
      </c>
      <c r="AV4" s="389"/>
      <c r="AW4" s="388" t="s">
        <v>93</v>
      </c>
      <c r="AX4" s="389"/>
      <c r="AY4" s="388" t="s">
        <v>93</v>
      </c>
      <c r="AZ4" s="389"/>
      <c r="BA4" s="388" t="s">
        <v>93</v>
      </c>
      <c r="BB4" s="389"/>
      <c r="BC4" s="388" t="s">
        <v>93</v>
      </c>
      <c r="BD4" s="389"/>
      <c r="BE4" s="388" t="s">
        <v>93</v>
      </c>
      <c r="BF4" s="389"/>
      <c r="BG4" s="388" t="s">
        <v>93</v>
      </c>
      <c r="BH4" s="389"/>
      <c r="BI4" s="388" t="s">
        <v>93</v>
      </c>
      <c r="BJ4" s="389"/>
      <c r="BL4" s="385" t="s">
        <v>93</v>
      </c>
      <c r="BM4" s="386"/>
    </row>
    <row r="5" spans="1:67" ht="15" customHeight="1" x14ac:dyDescent="0.35">
      <c r="B5" s="25" t="s">
        <v>94</v>
      </c>
      <c r="C5" s="393" t="s">
        <v>95</v>
      </c>
      <c r="D5" s="389"/>
      <c r="E5" s="388" t="s">
        <v>96</v>
      </c>
      <c r="F5" s="389"/>
      <c r="G5" s="388" t="s">
        <v>96</v>
      </c>
      <c r="H5" s="389"/>
      <c r="I5" s="388" t="s">
        <v>96</v>
      </c>
      <c r="J5" s="389"/>
      <c r="K5" s="388" t="s">
        <v>96</v>
      </c>
      <c r="L5" s="389"/>
      <c r="M5" s="388" t="s">
        <v>96</v>
      </c>
      <c r="N5" s="389"/>
      <c r="O5" s="388" t="s">
        <v>96</v>
      </c>
      <c r="P5" s="389"/>
      <c r="Q5" s="385" t="s">
        <v>95</v>
      </c>
      <c r="R5" s="386"/>
      <c r="S5" s="388" t="s">
        <v>96</v>
      </c>
      <c r="T5" s="389"/>
      <c r="Y5" s="372" t="s">
        <v>475</v>
      </c>
      <c r="AA5" s="25" t="s">
        <v>94</v>
      </c>
      <c r="AB5" s="74" t="s">
        <v>95</v>
      </c>
      <c r="AC5" s="75"/>
      <c r="AT5" s="25" t="s">
        <v>94</v>
      </c>
      <c r="AU5" s="393" t="s">
        <v>95</v>
      </c>
      <c r="AV5" s="389"/>
      <c r="AW5" s="388" t="s">
        <v>96</v>
      </c>
      <c r="AX5" s="389"/>
      <c r="AY5" s="388" t="s">
        <v>96</v>
      </c>
      <c r="AZ5" s="389"/>
      <c r="BA5" s="388" t="s">
        <v>96</v>
      </c>
      <c r="BB5" s="389"/>
      <c r="BC5" s="388" t="s">
        <v>96</v>
      </c>
      <c r="BD5" s="389"/>
      <c r="BE5" s="388" t="s">
        <v>96</v>
      </c>
      <c r="BF5" s="389"/>
      <c r="BG5" s="388" t="s">
        <v>96</v>
      </c>
      <c r="BH5" s="389"/>
      <c r="BI5" s="388" t="s">
        <v>96</v>
      </c>
      <c r="BJ5" s="389"/>
      <c r="BL5" s="385" t="s">
        <v>95</v>
      </c>
      <c r="BM5" s="386"/>
    </row>
    <row r="6" spans="1:67" ht="15" customHeight="1" x14ac:dyDescent="0.35">
      <c r="B6" s="26" t="s">
        <v>97</v>
      </c>
      <c r="C6" s="390" t="s">
        <v>98</v>
      </c>
      <c r="D6" s="391"/>
      <c r="E6" s="392" t="s">
        <v>77</v>
      </c>
      <c r="F6" s="391"/>
      <c r="G6" s="392" t="s">
        <v>99</v>
      </c>
      <c r="H6" s="391"/>
      <c r="I6" s="392" t="s">
        <v>100</v>
      </c>
      <c r="J6" s="391"/>
      <c r="K6" s="392" t="s">
        <v>101</v>
      </c>
      <c r="L6" s="391"/>
      <c r="M6" s="392" t="s">
        <v>102</v>
      </c>
      <c r="N6" s="391"/>
      <c r="O6" s="392" t="s">
        <v>103</v>
      </c>
      <c r="P6" s="391"/>
      <c r="Q6" s="385" t="s">
        <v>187</v>
      </c>
      <c r="R6" s="386"/>
      <c r="S6" s="392" t="s">
        <v>104</v>
      </c>
      <c r="T6" s="391"/>
      <c r="AA6" s="26" t="s">
        <v>97</v>
      </c>
      <c r="AB6" s="76" t="s">
        <v>168</v>
      </c>
      <c r="AC6" s="77"/>
      <c r="AT6" s="26" t="s">
        <v>97</v>
      </c>
      <c r="AU6" s="390" t="s">
        <v>98</v>
      </c>
      <c r="AV6" s="391"/>
      <c r="AW6" s="392" t="s">
        <v>77</v>
      </c>
      <c r="AX6" s="391"/>
      <c r="AY6" s="392" t="s">
        <v>99</v>
      </c>
      <c r="AZ6" s="391"/>
      <c r="BA6" s="392" t="s">
        <v>100</v>
      </c>
      <c r="BB6" s="391"/>
      <c r="BC6" s="392" t="s">
        <v>101</v>
      </c>
      <c r="BD6" s="391"/>
      <c r="BE6" s="392" t="s">
        <v>102</v>
      </c>
      <c r="BF6" s="391"/>
      <c r="BG6" s="392" t="s">
        <v>103</v>
      </c>
      <c r="BH6" s="391"/>
      <c r="BI6" s="392" t="s">
        <v>104</v>
      </c>
      <c r="BJ6" s="391"/>
      <c r="BL6" s="385" t="s">
        <v>187</v>
      </c>
      <c r="BM6" s="386"/>
    </row>
    <row r="7" spans="1:67" ht="15" customHeight="1" x14ac:dyDescent="0.35">
      <c r="B7" s="25" t="s">
        <v>105</v>
      </c>
      <c r="C7" s="387"/>
      <c r="D7" s="386"/>
      <c r="E7" s="385"/>
      <c r="F7" s="386"/>
      <c r="G7" s="385"/>
      <c r="H7" s="386"/>
      <c r="I7" s="385"/>
      <c r="J7" s="386"/>
      <c r="K7" s="385"/>
      <c r="L7" s="386"/>
      <c r="M7" s="385"/>
      <c r="N7" s="386"/>
      <c r="O7" s="385"/>
      <c r="P7" s="386"/>
      <c r="Q7" s="385"/>
      <c r="R7" s="386"/>
      <c r="S7" s="385"/>
      <c r="T7" s="386"/>
      <c r="AA7" s="25" t="s">
        <v>105</v>
      </c>
      <c r="AB7" s="78"/>
      <c r="AC7" s="82"/>
      <c r="AT7" s="25" t="s">
        <v>105</v>
      </c>
      <c r="AU7" s="387"/>
      <c r="AV7" s="386"/>
      <c r="AW7" s="385"/>
      <c r="AX7" s="386"/>
      <c r="AY7" s="385"/>
      <c r="AZ7" s="386"/>
      <c r="BA7" s="385"/>
      <c r="BB7" s="386"/>
      <c r="BC7" s="385"/>
      <c r="BD7" s="386"/>
      <c r="BE7" s="385"/>
      <c r="BF7" s="386"/>
      <c r="BG7" s="385"/>
      <c r="BH7" s="386"/>
      <c r="BI7" s="385"/>
      <c r="BJ7" s="386"/>
      <c r="BL7" s="385"/>
      <c r="BM7" s="386"/>
    </row>
    <row r="8" spans="1:67" ht="15" customHeight="1" x14ac:dyDescent="0.35">
      <c r="B8" s="25" t="s">
        <v>106</v>
      </c>
      <c r="C8" s="384"/>
      <c r="D8" s="380"/>
      <c r="E8" s="379"/>
      <c r="F8" s="380"/>
      <c r="G8" s="379"/>
      <c r="H8" s="380"/>
      <c r="I8" s="379"/>
      <c r="J8" s="380"/>
      <c r="K8" s="379"/>
      <c r="L8" s="380"/>
      <c r="M8" s="379"/>
      <c r="N8" s="380"/>
      <c r="O8" s="379"/>
      <c r="P8" s="380"/>
      <c r="Q8" s="379"/>
      <c r="R8" s="380"/>
      <c r="S8" s="379"/>
      <c r="T8" s="380"/>
      <c r="AA8" s="25" t="s">
        <v>106</v>
      </c>
      <c r="AB8" s="79"/>
      <c r="AC8" s="83"/>
      <c r="AT8" s="25" t="s">
        <v>106</v>
      </c>
      <c r="AU8" s="384"/>
      <c r="AV8" s="380"/>
      <c r="AW8" s="379"/>
      <c r="AX8" s="380"/>
      <c r="AY8" s="379"/>
      <c r="AZ8" s="380"/>
      <c r="BA8" s="379"/>
      <c r="BB8" s="380"/>
      <c r="BC8" s="379"/>
      <c r="BD8" s="380"/>
      <c r="BE8" s="379"/>
      <c r="BF8" s="380"/>
      <c r="BG8" s="379"/>
      <c r="BH8" s="380"/>
      <c r="BI8" s="379"/>
      <c r="BJ8" s="380"/>
      <c r="BL8" s="379"/>
      <c r="BM8" s="380"/>
    </row>
    <row r="9" spans="1:67" ht="15" customHeight="1" x14ac:dyDescent="0.35">
      <c r="B9" s="26" t="s">
        <v>107</v>
      </c>
      <c r="C9" s="384"/>
      <c r="D9" s="380"/>
      <c r="E9" s="379"/>
      <c r="F9" s="380"/>
      <c r="G9" s="379"/>
      <c r="H9" s="380"/>
      <c r="I9" s="379"/>
      <c r="J9" s="380"/>
      <c r="K9" s="379"/>
      <c r="L9" s="380"/>
      <c r="M9" s="379"/>
      <c r="N9" s="380"/>
      <c r="O9" s="379"/>
      <c r="P9" s="380"/>
      <c r="Q9" s="379"/>
      <c r="R9" s="380"/>
      <c r="S9" s="379"/>
      <c r="T9" s="380"/>
      <c r="AA9" s="26" t="s">
        <v>107</v>
      </c>
      <c r="AB9" s="79"/>
      <c r="AC9" s="83"/>
      <c r="AT9" s="26" t="s">
        <v>107</v>
      </c>
      <c r="AU9" s="384"/>
      <c r="AV9" s="380"/>
      <c r="AW9" s="379"/>
      <c r="AX9" s="380"/>
      <c r="AY9" s="379"/>
      <c r="AZ9" s="380"/>
      <c r="BA9" s="379"/>
      <c r="BB9" s="380"/>
      <c r="BC9" s="379"/>
      <c r="BD9" s="380"/>
      <c r="BE9" s="379"/>
      <c r="BF9" s="380"/>
      <c r="BG9" s="379"/>
      <c r="BH9" s="380"/>
      <c r="BI9" s="379"/>
      <c r="BJ9" s="380"/>
      <c r="BL9" s="379"/>
      <c r="BM9" s="380"/>
    </row>
    <row r="10" spans="1:67" ht="27" customHeight="1" thickBot="1" x14ac:dyDescent="0.4">
      <c r="B10" s="27" t="s">
        <v>108</v>
      </c>
      <c r="C10" s="381">
        <v>41855</v>
      </c>
      <c r="D10" s="382"/>
      <c r="E10" s="383">
        <v>43230</v>
      </c>
      <c r="F10" s="382"/>
      <c r="G10" s="383">
        <v>42944</v>
      </c>
      <c r="H10" s="382"/>
      <c r="I10" s="383">
        <v>43559</v>
      </c>
      <c r="J10" s="382"/>
      <c r="K10" s="383">
        <v>43367</v>
      </c>
      <c r="L10" s="382"/>
      <c r="M10" s="383">
        <v>43203</v>
      </c>
      <c r="N10" s="382"/>
      <c r="O10" s="383">
        <v>43328</v>
      </c>
      <c r="P10" s="382"/>
      <c r="Q10" s="383" t="s">
        <v>172</v>
      </c>
      <c r="R10" s="382"/>
      <c r="S10" s="383">
        <v>43367</v>
      </c>
      <c r="T10" s="382"/>
      <c r="AA10" s="27" t="s">
        <v>108</v>
      </c>
      <c r="AB10" s="80">
        <v>41954</v>
      </c>
      <c r="AC10" s="84">
        <v>41955</v>
      </c>
      <c r="AD10" s="80">
        <v>41956</v>
      </c>
      <c r="AE10" s="84">
        <v>41957</v>
      </c>
      <c r="AF10" s="80">
        <v>41958</v>
      </c>
      <c r="AG10" s="84">
        <v>41959</v>
      </c>
      <c r="AH10" s="80">
        <v>41960</v>
      </c>
      <c r="AI10" s="84">
        <v>41961</v>
      </c>
      <c r="AJ10" s="80">
        <v>41962</v>
      </c>
      <c r="AK10" s="84">
        <v>41963</v>
      </c>
      <c r="AL10" s="80">
        <v>41964</v>
      </c>
      <c r="AM10" s="84">
        <v>41965</v>
      </c>
      <c r="AN10" s="80">
        <v>41966</v>
      </c>
      <c r="AO10" s="84">
        <v>41967</v>
      </c>
      <c r="AP10" s="80">
        <v>41968</v>
      </c>
      <c r="AQ10" s="84">
        <v>41969</v>
      </c>
      <c r="AT10" s="27" t="s">
        <v>108</v>
      </c>
      <c r="AU10" s="381">
        <v>41855</v>
      </c>
      <c r="AV10" s="382"/>
      <c r="AW10" s="383">
        <v>43230</v>
      </c>
      <c r="AX10" s="382"/>
      <c r="AY10" s="383">
        <v>42944</v>
      </c>
      <c r="AZ10" s="382"/>
      <c r="BA10" s="383">
        <v>43559</v>
      </c>
      <c r="BB10" s="382"/>
      <c r="BC10" s="383">
        <v>43367</v>
      </c>
      <c r="BD10" s="382"/>
      <c r="BE10" s="383">
        <v>43203</v>
      </c>
      <c r="BF10" s="382"/>
      <c r="BG10" s="383">
        <v>43328</v>
      </c>
      <c r="BH10" s="382"/>
      <c r="BI10" s="383">
        <v>43367</v>
      </c>
      <c r="BJ10" s="382"/>
      <c r="BK10" s="92" t="s">
        <v>173</v>
      </c>
      <c r="BL10" s="383" t="s">
        <v>172</v>
      </c>
      <c r="BM10" s="382"/>
    </row>
    <row r="11" spans="1:67" ht="45" customHeight="1" thickBot="1" x14ac:dyDescent="0.4">
      <c r="A11" s="17" t="s">
        <v>0</v>
      </c>
      <c r="B11" s="28" t="s">
        <v>109</v>
      </c>
      <c r="C11" s="378" t="s">
        <v>110</v>
      </c>
      <c r="D11" s="377"/>
      <c r="E11" s="376" t="s">
        <v>111</v>
      </c>
      <c r="F11" s="377"/>
      <c r="G11" s="376" t="s">
        <v>112</v>
      </c>
      <c r="H11" s="377"/>
      <c r="I11" s="376" t="s">
        <v>113</v>
      </c>
      <c r="J11" s="377"/>
      <c r="K11" s="376" t="s">
        <v>114</v>
      </c>
      <c r="L11" s="377"/>
      <c r="M11" s="376" t="s">
        <v>115</v>
      </c>
      <c r="N11" s="377"/>
      <c r="O11" s="376" t="s">
        <v>116</v>
      </c>
      <c r="P11" s="377"/>
      <c r="Q11" s="376" t="s">
        <v>169</v>
      </c>
      <c r="R11" s="377"/>
      <c r="S11" s="376"/>
      <c r="T11" s="377"/>
      <c r="U11" s="29" t="s">
        <v>117</v>
      </c>
      <c r="V11" s="30" t="s">
        <v>118</v>
      </c>
      <c r="W11" s="31" t="s">
        <v>119</v>
      </c>
      <c r="X11" s="95" t="s">
        <v>59</v>
      </c>
      <c r="Y11" s="95"/>
      <c r="AA11" s="28" t="s">
        <v>109</v>
      </c>
      <c r="AB11" s="81" t="s">
        <v>169</v>
      </c>
      <c r="AC11" s="82" t="s">
        <v>169</v>
      </c>
      <c r="AD11" s="81" t="s">
        <v>169</v>
      </c>
      <c r="AE11" s="82" t="s">
        <v>169</v>
      </c>
      <c r="AF11" s="81" t="s">
        <v>169</v>
      </c>
      <c r="AG11" s="82" t="s">
        <v>169</v>
      </c>
      <c r="AH11" s="81" t="s">
        <v>169</v>
      </c>
      <c r="AI11" s="82" t="s">
        <v>169</v>
      </c>
      <c r="AJ11" s="81" t="s">
        <v>169</v>
      </c>
      <c r="AK11" s="82" t="s">
        <v>169</v>
      </c>
      <c r="AL11" s="81" t="s">
        <v>169</v>
      </c>
      <c r="AM11" s="82" t="s">
        <v>169</v>
      </c>
      <c r="AN11" s="81" t="s">
        <v>169</v>
      </c>
      <c r="AO11" s="82" t="s">
        <v>169</v>
      </c>
      <c r="AP11" s="81" t="s">
        <v>169</v>
      </c>
      <c r="AQ11" s="82" t="s">
        <v>169</v>
      </c>
      <c r="AR11" s="30" t="s">
        <v>118</v>
      </c>
      <c r="AT11" s="28" t="s">
        <v>109</v>
      </c>
      <c r="AU11" s="378" t="s">
        <v>110</v>
      </c>
      <c r="AV11" s="377"/>
      <c r="AW11" s="376" t="s">
        <v>111</v>
      </c>
      <c r="AX11" s="377"/>
      <c r="AY11" s="376" t="s">
        <v>112</v>
      </c>
      <c r="AZ11" s="377"/>
      <c r="BA11" s="376" t="s">
        <v>113</v>
      </c>
      <c r="BB11" s="377"/>
      <c r="BC11" s="376" t="s">
        <v>114</v>
      </c>
      <c r="BD11" s="377"/>
      <c r="BE11" s="376" t="s">
        <v>115</v>
      </c>
      <c r="BF11" s="377"/>
      <c r="BG11" s="376" t="s">
        <v>116</v>
      </c>
      <c r="BH11" s="377"/>
      <c r="BI11" s="376"/>
      <c r="BJ11" s="377"/>
      <c r="BK11" s="93"/>
      <c r="BL11" s="376" t="s">
        <v>169</v>
      </c>
      <c r="BM11" s="377"/>
    </row>
    <row r="12" spans="1:67" ht="15.75" customHeight="1" thickBot="1" x14ac:dyDescent="0.4">
      <c r="B12" s="32"/>
      <c r="C12" s="33" t="s">
        <v>120</v>
      </c>
      <c r="D12" s="34" t="s">
        <v>121</v>
      </c>
      <c r="E12" s="35" t="s">
        <v>120</v>
      </c>
      <c r="F12" s="34" t="s">
        <v>121</v>
      </c>
      <c r="G12" s="35" t="s">
        <v>120</v>
      </c>
      <c r="H12" s="34" t="s">
        <v>121</v>
      </c>
      <c r="I12" s="35" t="s">
        <v>120</v>
      </c>
      <c r="J12" s="34" t="s">
        <v>121</v>
      </c>
      <c r="K12" s="35" t="s">
        <v>120</v>
      </c>
      <c r="L12" s="34" t="s">
        <v>121</v>
      </c>
      <c r="M12" s="35" t="s">
        <v>120</v>
      </c>
      <c r="N12" s="34" t="s">
        <v>121</v>
      </c>
      <c r="O12" s="35" t="s">
        <v>120</v>
      </c>
      <c r="P12" s="34" t="s">
        <v>121</v>
      </c>
      <c r="Q12" s="35" t="s">
        <v>120</v>
      </c>
      <c r="R12" s="34" t="s">
        <v>121</v>
      </c>
      <c r="S12" s="35" t="s">
        <v>120</v>
      </c>
      <c r="T12" s="34" t="s">
        <v>121</v>
      </c>
      <c r="V12" s="36" t="s">
        <v>121</v>
      </c>
      <c r="W12" s="37" t="s">
        <v>121</v>
      </c>
      <c r="X12" s="96"/>
      <c r="Y12" s="96"/>
      <c r="AA12" s="32"/>
      <c r="AB12" s="35" t="s">
        <v>120</v>
      </c>
      <c r="AC12" s="34" t="s">
        <v>120</v>
      </c>
      <c r="AD12" s="35" t="s">
        <v>120</v>
      </c>
      <c r="AE12" s="34" t="s">
        <v>120</v>
      </c>
      <c r="AF12" s="35" t="s">
        <v>120</v>
      </c>
      <c r="AG12" s="34" t="s">
        <v>120</v>
      </c>
      <c r="AH12" s="35" t="s">
        <v>120</v>
      </c>
      <c r="AI12" s="34" t="s">
        <v>120</v>
      </c>
      <c r="AJ12" s="35" t="s">
        <v>120</v>
      </c>
      <c r="AK12" s="34" t="s">
        <v>120</v>
      </c>
      <c r="AL12" s="35" t="s">
        <v>120</v>
      </c>
      <c r="AM12" s="34" t="s">
        <v>120</v>
      </c>
      <c r="AN12" s="35" t="s">
        <v>120</v>
      </c>
      <c r="AO12" s="34" t="s">
        <v>120</v>
      </c>
      <c r="AP12" s="35" t="s">
        <v>120</v>
      </c>
      <c r="AQ12" s="34" t="s">
        <v>120</v>
      </c>
      <c r="AR12" s="36" t="s">
        <v>120</v>
      </c>
      <c r="AT12" s="32"/>
      <c r="AU12" s="33" t="s">
        <v>120</v>
      </c>
      <c r="AV12" s="34" t="s">
        <v>173</v>
      </c>
      <c r="AW12" s="35" t="s">
        <v>120</v>
      </c>
      <c r="AX12" s="34" t="s">
        <v>173</v>
      </c>
      <c r="AY12" s="35" t="s">
        <v>120</v>
      </c>
      <c r="AZ12" s="34" t="s">
        <v>173</v>
      </c>
      <c r="BA12" s="35" t="s">
        <v>120</v>
      </c>
      <c r="BB12" s="34" t="s">
        <v>173</v>
      </c>
      <c r="BC12" s="35" t="s">
        <v>120</v>
      </c>
      <c r="BD12" s="34" t="s">
        <v>173</v>
      </c>
      <c r="BE12" s="35" t="s">
        <v>120</v>
      </c>
      <c r="BF12" s="34" t="s">
        <v>173</v>
      </c>
      <c r="BG12" s="35" t="s">
        <v>120</v>
      </c>
      <c r="BH12" s="34" t="s">
        <v>173</v>
      </c>
      <c r="BI12" s="35" t="s">
        <v>120</v>
      </c>
      <c r="BJ12" s="34" t="s">
        <v>173</v>
      </c>
      <c r="BK12" s="94" t="s">
        <v>120</v>
      </c>
      <c r="BL12" s="35" t="s">
        <v>120</v>
      </c>
      <c r="BM12" s="34" t="s">
        <v>121</v>
      </c>
    </row>
    <row r="13" spans="1:67" ht="15" customHeight="1" x14ac:dyDescent="0.35">
      <c r="B13" s="23" t="s">
        <v>122</v>
      </c>
      <c r="C13" s="38">
        <v>0</v>
      </c>
      <c r="D13" s="39"/>
      <c r="E13" s="40"/>
      <c r="F13" s="39"/>
      <c r="G13" s="40"/>
      <c r="H13" s="39"/>
      <c r="I13" s="40"/>
      <c r="J13" s="39"/>
      <c r="K13" s="40"/>
      <c r="L13" s="39"/>
      <c r="M13" s="40"/>
      <c r="N13" s="39"/>
      <c r="O13" s="40"/>
      <c r="P13" s="39"/>
      <c r="Q13" s="40"/>
      <c r="R13" s="39"/>
      <c r="S13" s="40"/>
      <c r="T13" s="39"/>
      <c r="U13" s="13"/>
      <c r="AA13" s="23"/>
      <c r="AB13" s="40"/>
      <c r="AC13" s="39"/>
      <c r="AT13" s="23" t="s">
        <v>122</v>
      </c>
      <c r="AU13" s="38">
        <v>0</v>
      </c>
      <c r="AV13" s="39"/>
      <c r="AW13" s="40"/>
      <c r="AX13" s="39"/>
      <c r="AY13" s="40"/>
      <c r="AZ13" s="39"/>
      <c r="BA13" s="40"/>
      <c r="BB13" s="39"/>
      <c r="BC13" s="40"/>
      <c r="BD13" s="39"/>
      <c r="BE13" s="40"/>
      <c r="BF13" s="39"/>
      <c r="BG13" s="40"/>
      <c r="BH13" s="39"/>
      <c r="BI13" s="40"/>
      <c r="BJ13" s="39"/>
      <c r="BK13" s="24" t="s">
        <v>189</v>
      </c>
      <c r="BL13" s="40"/>
      <c r="BM13" s="39"/>
    </row>
    <row r="14" spans="1:67" ht="27" customHeight="1" thickBot="1" x14ac:dyDescent="0.4">
      <c r="B14" s="25" t="s">
        <v>123</v>
      </c>
      <c r="C14" s="41">
        <v>1.0000000000000001E-5</v>
      </c>
      <c r="D14" s="42"/>
      <c r="E14" s="43"/>
      <c r="F14" s="42"/>
      <c r="G14" s="43"/>
      <c r="H14" s="42"/>
      <c r="I14" s="43"/>
      <c r="J14" s="42"/>
      <c r="K14" s="43"/>
      <c r="L14" s="42"/>
      <c r="M14" s="43"/>
      <c r="N14" s="42"/>
      <c r="O14" s="43"/>
      <c r="P14" s="42"/>
      <c r="Q14" s="43"/>
      <c r="R14" s="42"/>
      <c r="S14" s="43"/>
      <c r="T14" s="42"/>
      <c r="U14" s="13"/>
      <c r="AA14" s="25" t="s">
        <v>123</v>
      </c>
      <c r="AB14" s="43" t="s">
        <v>170</v>
      </c>
      <c r="AC14" s="43" t="s">
        <v>170</v>
      </c>
      <c r="AD14" s="43" t="s">
        <v>170</v>
      </c>
      <c r="AE14" s="43" t="s">
        <v>170</v>
      </c>
      <c r="AF14" s="43" t="s">
        <v>170</v>
      </c>
      <c r="AG14" s="43" t="s">
        <v>170</v>
      </c>
      <c r="AH14" s="43" t="s">
        <v>170</v>
      </c>
      <c r="AI14" s="43" t="s">
        <v>170</v>
      </c>
      <c r="AJ14" s="43" t="s">
        <v>170</v>
      </c>
      <c r="AK14" s="43" t="s">
        <v>170</v>
      </c>
      <c r="AL14" s="43" t="s">
        <v>170</v>
      </c>
      <c r="AM14" s="43" t="s">
        <v>170</v>
      </c>
      <c r="AN14" s="43" t="s">
        <v>170</v>
      </c>
      <c r="AO14" s="43" t="s">
        <v>170</v>
      </c>
      <c r="AP14" s="43" t="s">
        <v>170</v>
      </c>
      <c r="AQ14" s="43" t="s">
        <v>170</v>
      </c>
      <c r="AT14" s="25" t="s">
        <v>123</v>
      </c>
      <c r="AU14" s="41">
        <v>1.0000000000000001E-5</v>
      </c>
      <c r="AV14" s="42"/>
      <c r="AW14" s="43"/>
      <c r="AX14" s="42"/>
      <c r="AY14" s="43"/>
      <c r="AZ14" s="42"/>
      <c r="BA14" s="43"/>
      <c r="BB14" s="42"/>
      <c r="BC14" s="43"/>
      <c r="BD14" s="42"/>
      <c r="BE14" s="43"/>
      <c r="BF14" s="42"/>
      <c r="BG14" s="43"/>
      <c r="BH14" s="42"/>
      <c r="BI14" s="43"/>
      <c r="BJ14" s="42"/>
      <c r="BL14" s="43"/>
      <c r="BM14" s="42"/>
    </row>
    <row r="15" spans="1:67" ht="27" customHeight="1" x14ac:dyDescent="0.35">
      <c r="B15" s="44" t="s">
        <v>124</v>
      </c>
      <c r="C15" s="41">
        <v>0</v>
      </c>
      <c r="D15" s="42">
        <v>0</v>
      </c>
      <c r="E15" s="43">
        <v>2.7899999999999999E-3</v>
      </c>
      <c r="F15" s="42">
        <v>4.4799999999999996E-3</v>
      </c>
      <c r="G15" s="43">
        <v>3.0599999999999998E-3</v>
      </c>
      <c r="H15" s="42">
        <v>4.4799999999999996E-3</v>
      </c>
      <c r="I15" s="43">
        <v>2.1589999999999999E-3</v>
      </c>
      <c r="J15" s="42">
        <v>3.0799999999999998E-3</v>
      </c>
      <c r="K15" s="43">
        <v>3.091E-3</v>
      </c>
      <c r="L15" s="42">
        <v>4.7099999999999998E-3</v>
      </c>
      <c r="M15" s="43">
        <v>3.1159999999999998E-3</v>
      </c>
      <c r="N15" s="42">
        <v>4.5700000000000003E-3</v>
      </c>
      <c r="O15" s="43">
        <v>3.336E-3</v>
      </c>
      <c r="P15" s="42">
        <v>4.8700000000000002E-3</v>
      </c>
      <c r="Q15" s="43">
        <f>AB15</f>
        <v>2.6199999999999999E-3</v>
      </c>
      <c r="R15" s="45">
        <f t="shared" ref="R15:R22" si="0">Q15*U15/$R$56</f>
        <v>4.4347798510125267E-3</v>
      </c>
      <c r="S15" s="43">
        <v>3.091E-3</v>
      </c>
      <c r="T15" s="45">
        <f t="shared" ref="T15:T22" si="1">S15*U15/$T$56</f>
        <v>4.70814620608093E-3</v>
      </c>
      <c r="U15" s="46">
        <f>14.0067*2</f>
        <v>28.013400000000001</v>
      </c>
      <c r="AA15" s="44" t="s">
        <v>124</v>
      </c>
      <c r="AB15" s="43">
        <v>2.6199999999999999E-3</v>
      </c>
      <c r="AC15" s="42">
        <v>2.5899999999999999E-3</v>
      </c>
      <c r="AD15" s="90">
        <v>2.5800000000000003E-3</v>
      </c>
      <c r="AE15" s="90">
        <v>2.5400000000000002E-3</v>
      </c>
      <c r="AF15" s="90">
        <v>2.5500000000000002E-3</v>
      </c>
      <c r="AG15" s="91">
        <v>2.5500000000000002E-3</v>
      </c>
      <c r="AH15" s="91">
        <v>2.5000000000000001E-3</v>
      </c>
      <c r="AI15" s="91">
        <v>2.5300000000000001E-3</v>
      </c>
      <c r="AJ15" s="91">
        <v>2.5600000000000002E-3</v>
      </c>
      <c r="AK15" s="91">
        <v>2.5800000000000003E-3</v>
      </c>
      <c r="AL15" s="91">
        <v>2.5300000000000001E-3</v>
      </c>
      <c r="AM15" s="91">
        <v>2.4499999999999999E-3</v>
      </c>
      <c r="AN15" s="91">
        <v>2.48E-3</v>
      </c>
      <c r="AO15" s="91">
        <v>2.5300000000000001E-3</v>
      </c>
      <c r="AP15" s="91">
        <v>2.4599999999999999E-3</v>
      </c>
      <c r="AQ15" s="91">
        <v>2.4399999999999999E-3</v>
      </c>
      <c r="AR15" s="24"/>
      <c r="AS15" s="24"/>
      <c r="AT15" s="44" t="s">
        <v>124</v>
      </c>
      <c r="AU15" s="41">
        <v>0</v>
      </c>
      <c r="AV15" s="42"/>
      <c r="AW15" s="43">
        <v>2.7899999999999999E-3</v>
      </c>
      <c r="AX15" s="42"/>
      <c r="AY15" s="43">
        <v>3.0599999999999998E-3</v>
      </c>
      <c r="AZ15" s="42"/>
      <c r="BA15" s="43">
        <v>2.1589999999999999E-3</v>
      </c>
      <c r="BB15" s="42"/>
      <c r="BC15" s="43">
        <v>3.091E-3</v>
      </c>
      <c r="BD15" s="42"/>
      <c r="BE15" s="43">
        <v>3.1159999999999998E-3</v>
      </c>
      <c r="BF15" s="42"/>
      <c r="BG15" s="43">
        <v>3.336E-3</v>
      </c>
      <c r="BH15" s="42"/>
      <c r="BI15" s="43">
        <v>3.091E-3</v>
      </c>
      <c r="BJ15" s="42"/>
      <c r="BL15" s="43"/>
      <c r="BM15" s="42"/>
      <c r="BO15" s="24"/>
    </row>
    <row r="16" spans="1:67" ht="27" customHeight="1" x14ac:dyDescent="0.35">
      <c r="B16" s="44" t="s">
        <v>125</v>
      </c>
      <c r="C16" s="41"/>
      <c r="D16" s="42"/>
      <c r="E16" s="43">
        <v>2.4000000000000001E-5</v>
      </c>
      <c r="F16" s="42">
        <v>4.0000000000000003E-5</v>
      </c>
      <c r="G16" s="43">
        <v>2.0000000000000002E-5</v>
      </c>
      <c r="H16" s="42">
        <v>3.0000000000000001E-5</v>
      </c>
      <c r="I16" s="43">
        <v>0</v>
      </c>
      <c r="J16" s="42">
        <v>0</v>
      </c>
      <c r="K16" s="43">
        <v>7.2000000000000002E-5</v>
      </c>
      <c r="L16" s="42">
        <v>1.2999999999999999E-4</v>
      </c>
      <c r="M16" s="43">
        <v>1.2E-5</v>
      </c>
      <c r="N16" s="42">
        <v>2.0000000000000002E-5</v>
      </c>
      <c r="O16" s="43">
        <v>5.3999999999999998E-5</v>
      </c>
      <c r="P16" s="42">
        <v>9.0000000000000006E-5</v>
      </c>
      <c r="Q16" s="43">
        <f>AB16</f>
        <v>0</v>
      </c>
      <c r="R16" s="45">
        <f t="shared" si="0"/>
        <v>0</v>
      </c>
      <c r="S16" s="43">
        <v>7.2000000000000002E-5</v>
      </c>
      <c r="T16" s="45">
        <f t="shared" si="1"/>
        <v>1.2527121847150598E-4</v>
      </c>
      <c r="U16" s="47">
        <f>15.9994*2</f>
        <v>31.998799999999999</v>
      </c>
      <c r="AA16" s="44"/>
      <c r="AB16" s="43"/>
      <c r="AC16" s="42"/>
      <c r="AD16" s="90"/>
      <c r="AE16" s="90"/>
      <c r="AF16" s="90"/>
      <c r="AG16" s="90"/>
      <c r="AH16" s="90"/>
      <c r="AI16" s="90"/>
      <c r="AJ16" s="90"/>
      <c r="AK16" s="90"/>
      <c r="AL16" s="90"/>
      <c r="AM16" s="90"/>
      <c r="AN16" s="90"/>
      <c r="AO16" s="90"/>
      <c r="AP16" s="90"/>
      <c r="AQ16" s="90"/>
      <c r="AR16" s="24"/>
      <c r="AS16" s="24"/>
      <c r="AT16" s="44" t="s">
        <v>125</v>
      </c>
      <c r="AU16" s="41"/>
      <c r="AV16" s="42"/>
      <c r="AW16" s="43">
        <v>2.4000000000000001E-5</v>
      </c>
      <c r="AX16" s="42"/>
      <c r="AY16" s="43">
        <v>2.0000000000000002E-5</v>
      </c>
      <c r="AZ16" s="42"/>
      <c r="BA16" s="43">
        <v>0</v>
      </c>
      <c r="BB16" s="42"/>
      <c r="BC16" s="43">
        <v>7.2000000000000002E-5</v>
      </c>
      <c r="BD16" s="42"/>
      <c r="BE16" s="43">
        <v>1.2E-5</v>
      </c>
      <c r="BF16" s="42"/>
      <c r="BG16" s="43">
        <v>5.3999999999999998E-5</v>
      </c>
      <c r="BH16" s="42"/>
      <c r="BI16" s="43">
        <v>7.2000000000000002E-5</v>
      </c>
      <c r="BJ16" s="42"/>
      <c r="BL16" s="43"/>
      <c r="BM16" s="42"/>
      <c r="BO16" s="24"/>
    </row>
    <row r="17" spans="1:67" ht="15.75" customHeight="1" x14ac:dyDescent="0.35">
      <c r="B17" s="44" t="s">
        <v>126</v>
      </c>
      <c r="C17" s="41">
        <v>3.6769999999999997E-2</v>
      </c>
      <c r="D17" s="42">
        <v>8.949E-2</v>
      </c>
      <c r="E17" s="43">
        <v>1.805E-3</v>
      </c>
      <c r="F17" s="42">
        <v>4.5500000000000002E-3</v>
      </c>
      <c r="G17" s="43">
        <v>1.4499999999999999E-3</v>
      </c>
      <c r="H17" s="42">
        <v>3.3400000000000001E-3</v>
      </c>
      <c r="I17" s="43">
        <v>1.214E-3</v>
      </c>
      <c r="J17" s="42">
        <v>2.7200000000000002E-3</v>
      </c>
      <c r="K17" s="43">
        <v>1.2210000000000001E-3</v>
      </c>
      <c r="L17" s="42">
        <v>2.9199999999999999E-3</v>
      </c>
      <c r="M17" s="43">
        <v>1.428E-3</v>
      </c>
      <c r="N17" s="42">
        <v>3.29E-3</v>
      </c>
      <c r="O17" s="43">
        <v>1.4139999999999999E-3</v>
      </c>
      <c r="P17" s="42">
        <v>3.2399999999999998E-3</v>
      </c>
      <c r="Q17" s="43">
        <f>AB17</f>
        <v>2.7100000000000002E-3</v>
      </c>
      <c r="R17" s="45">
        <f t="shared" si="0"/>
        <v>7.2064383751843254E-3</v>
      </c>
      <c r="S17" s="43">
        <v>1.2210000000000001E-3</v>
      </c>
      <c r="T17" s="45">
        <f t="shared" si="1"/>
        <v>2.9217779801559607E-3</v>
      </c>
      <c r="U17" s="47">
        <f>12.0107+15.9994*2</f>
        <v>44.009500000000003</v>
      </c>
      <c r="AA17" s="44" t="s">
        <v>126</v>
      </c>
      <c r="AB17" s="43">
        <v>2.7100000000000002E-3</v>
      </c>
      <c r="AC17" s="42">
        <v>2.6199999999999999E-3</v>
      </c>
      <c r="AD17" s="90">
        <v>2.6099999999999999E-3</v>
      </c>
      <c r="AE17" s="90">
        <v>2.5500000000000002E-3</v>
      </c>
      <c r="AF17" s="90">
        <v>2.5400000000000002E-3</v>
      </c>
      <c r="AG17" s="91">
        <v>2.5700000000000002E-3</v>
      </c>
      <c r="AH17" s="91">
        <v>2.8999999999999998E-3</v>
      </c>
      <c r="AI17" s="91">
        <v>2.8199999999999996E-3</v>
      </c>
      <c r="AJ17" s="91">
        <v>2.63E-3</v>
      </c>
      <c r="AK17" s="91">
        <v>2.64E-3</v>
      </c>
      <c r="AL17" s="91">
        <v>2.7900000000000004E-3</v>
      </c>
      <c r="AM17" s="91">
        <v>2.8499999999999997E-3</v>
      </c>
      <c r="AN17" s="91">
        <v>2.8299999999999996E-3</v>
      </c>
      <c r="AO17" s="91">
        <v>2.5200000000000001E-3</v>
      </c>
      <c r="AP17" s="91">
        <v>2.8399999999999996E-3</v>
      </c>
      <c r="AQ17" s="91">
        <v>2.8299999999999996E-3</v>
      </c>
      <c r="AR17" s="24"/>
      <c r="AS17" s="24"/>
      <c r="AT17" s="44" t="s">
        <v>126</v>
      </c>
      <c r="AU17" s="41">
        <v>3.6769999999999997E-2</v>
      </c>
      <c r="AV17" s="42"/>
      <c r="AW17" s="43">
        <v>1.805E-3</v>
      </c>
      <c r="AX17" s="42"/>
      <c r="AY17" s="43">
        <v>1.4499999999999999E-3</v>
      </c>
      <c r="AZ17" s="42"/>
      <c r="BA17" s="43">
        <v>1.214E-3</v>
      </c>
      <c r="BB17" s="42"/>
      <c r="BC17" s="43">
        <v>1.2210000000000001E-3</v>
      </c>
      <c r="BD17" s="42"/>
      <c r="BE17" s="43">
        <v>1.428E-3</v>
      </c>
      <c r="BF17" s="42"/>
      <c r="BG17" s="43">
        <v>1.4139999999999999E-3</v>
      </c>
      <c r="BH17" s="42"/>
      <c r="BI17" s="43">
        <v>1.2210000000000001E-3</v>
      </c>
      <c r="BJ17" s="42"/>
      <c r="BL17" s="43"/>
      <c r="BM17" s="42"/>
      <c r="BO17" s="24"/>
    </row>
    <row r="18" spans="1:67" x14ac:dyDescent="0.35">
      <c r="A18" s="17">
        <v>529</v>
      </c>
      <c r="B18" s="25" t="s">
        <v>127</v>
      </c>
      <c r="C18" s="48">
        <v>0.91191999999999995</v>
      </c>
      <c r="D18" s="49">
        <v>0.80908999999999998</v>
      </c>
      <c r="E18" s="50">
        <v>0.91340900000000003</v>
      </c>
      <c r="F18" s="49">
        <v>0.83901000000000003</v>
      </c>
      <c r="G18" s="50">
        <v>0.84128000000000003</v>
      </c>
      <c r="H18" s="49">
        <v>0.70630999999999999</v>
      </c>
      <c r="I18" s="50">
        <v>0.82093099999999997</v>
      </c>
      <c r="J18" s="49">
        <v>0.67037000000000002</v>
      </c>
      <c r="K18" s="50">
        <v>0.87292599999999998</v>
      </c>
      <c r="L18" s="49">
        <v>0.76137999999999995</v>
      </c>
      <c r="M18" s="50">
        <v>0.84168299999999996</v>
      </c>
      <c r="N18" s="49">
        <v>0.70742000000000005</v>
      </c>
      <c r="O18" s="50">
        <v>0.83801700000000001</v>
      </c>
      <c r="P18" s="49">
        <v>0.70040000000000002</v>
      </c>
      <c r="Q18" s="50">
        <f>BL18</f>
        <v>0.96844562499999998</v>
      </c>
      <c r="R18" s="51">
        <f t="shared" si="0"/>
        <v>0.93875261213236949</v>
      </c>
      <c r="S18" s="50">
        <v>0.87292599999999998</v>
      </c>
      <c r="T18" s="51">
        <f t="shared" si="1"/>
        <v>0.76143617789857032</v>
      </c>
      <c r="U18" s="52">
        <f>12.0107+1.00794*4</f>
        <v>16.042459999999998</v>
      </c>
      <c r="V18" s="24">
        <f>AVERAGE(D18,F18,H18,J18,L18,N18,P18,R18,T18)</f>
        <v>0.76601875444788226</v>
      </c>
      <c r="W18" s="24">
        <f t="shared" ref="W18:W53" si="2">V18/$V$54</f>
        <v>0.77589232367655803</v>
      </c>
      <c r="X18" s="97">
        <f>STDEV(D18,F18,H18,J18,L18,N18,P18,R18,T18)</f>
        <v>8.479078097379357E-2</v>
      </c>
      <c r="Y18" s="18"/>
      <c r="AA18" s="25" t="s">
        <v>127</v>
      </c>
      <c r="AB18" s="50">
        <v>0.96757000000000004</v>
      </c>
      <c r="AC18" s="49">
        <v>0.96823999999999999</v>
      </c>
      <c r="AD18" s="24">
        <v>0.96829999999999994</v>
      </c>
      <c r="AE18" s="24">
        <v>0.96867999999999999</v>
      </c>
      <c r="AF18" s="24">
        <v>0.96867999999999999</v>
      </c>
      <c r="AG18" s="89">
        <v>0.96879999999999999</v>
      </c>
      <c r="AH18" s="89">
        <v>0.96787000000000001</v>
      </c>
      <c r="AI18" s="89">
        <v>0.96836</v>
      </c>
      <c r="AJ18" s="89">
        <v>0.96872000000000003</v>
      </c>
      <c r="AK18" s="89">
        <v>0.96872000000000003</v>
      </c>
      <c r="AL18" s="89">
        <v>0.96845999999999999</v>
      </c>
      <c r="AM18" s="89">
        <v>0.96819</v>
      </c>
      <c r="AN18" s="89">
        <v>0.96836</v>
      </c>
      <c r="AO18" s="89">
        <v>0.96920000000000006</v>
      </c>
      <c r="AP18" s="89">
        <v>0.96834999999999993</v>
      </c>
      <c r="AQ18" s="89">
        <v>0.96862999999999999</v>
      </c>
      <c r="AR18" s="24">
        <f>AVERAGE(AB18:AQ18)</f>
        <v>0.96844562499999998</v>
      </c>
      <c r="AS18" s="24"/>
      <c r="AT18" s="25" t="s">
        <v>127</v>
      </c>
      <c r="AU18" s="48">
        <v>0.91191999999999995</v>
      </c>
      <c r="AV18" s="49"/>
      <c r="AW18" s="50">
        <v>0.91340900000000003</v>
      </c>
      <c r="AX18" s="49"/>
      <c r="AY18" s="50">
        <v>0.84128000000000003</v>
      </c>
      <c r="AZ18" s="49"/>
      <c r="BA18" s="50">
        <v>0.82093099999999997</v>
      </c>
      <c r="BB18" s="49"/>
      <c r="BC18" s="50">
        <v>0.87292599999999998</v>
      </c>
      <c r="BD18" s="49"/>
      <c r="BE18" s="50">
        <v>0.84168299999999996</v>
      </c>
      <c r="BF18" s="49"/>
      <c r="BG18" s="50">
        <v>0.83801700000000001</v>
      </c>
      <c r="BH18" s="49"/>
      <c r="BI18" s="50">
        <v>0.87292599999999998</v>
      </c>
      <c r="BJ18" s="49"/>
      <c r="BL18" s="50">
        <f>AR18</f>
        <v>0.96844562499999998</v>
      </c>
      <c r="BM18" s="49"/>
      <c r="BO18" s="24"/>
    </row>
    <row r="19" spans="1:67" x14ac:dyDescent="0.35">
      <c r="A19" s="17">
        <v>438</v>
      </c>
      <c r="B19" s="25" t="s">
        <v>128</v>
      </c>
      <c r="C19" s="48">
        <v>4.4639999999999999E-2</v>
      </c>
      <c r="D19" s="49">
        <v>7.4230000000000004E-2</v>
      </c>
      <c r="E19" s="50">
        <v>7.1432999999999996E-2</v>
      </c>
      <c r="F19" s="49">
        <v>0.12300999999999999</v>
      </c>
      <c r="G19" s="50">
        <v>0.1154</v>
      </c>
      <c r="H19" s="49">
        <v>0.18163000000000001</v>
      </c>
      <c r="I19" s="50">
        <v>0.12661900000000001</v>
      </c>
      <c r="J19" s="49">
        <v>0.19384000000000001</v>
      </c>
      <c r="K19" s="50">
        <v>9.6335000000000004E-2</v>
      </c>
      <c r="L19" s="49">
        <v>0.15751999999999999</v>
      </c>
      <c r="M19" s="50">
        <v>0.115396</v>
      </c>
      <c r="N19" s="49">
        <v>0.18182000000000001</v>
      </c>
      <c r="O19" s="50">
        <v>0.116359</v>
      </c>
      <c r="P19" s="49">
        <v>0.18232000000000001</v>
      </c>
      <c r="Q19" s="50">
        <f>BL19</f>
        <v>2.4755625000000003E-2</v>
      </c>
      <c r="R19" s="51">
        <f t="shared" si="0"/>
        <v>4.4977820816695768E-2</v>
      </c>
      <c r="S19" s="50">
        <v>9.6335000000000004E-2</v>
      </c>
      <c r="T19" s="51">
        <f t="shared" si="1"/>
        <v>0.15750298095339138</v>
      </c>
      <c r="U19" s="52">
        <f>12.0107*2+1.00794*6</f>
        <v>30.069040000000001</v>
      </c>
      <c r="V19" s="24">
        <f t="shared" ref="V19:V53" si="3">AVERAGE(D19,F19,H19,J19,L19,N19,P19,R19,T19)</f>
        <v>0.1440945335300097</v>
      </c>
      <c r="W19" s="24">
        <f t="shared" si="2"/>
        <v>0.14595183446947266</v>
      </c>
      <c r="X19" s="97">
        <f t="shared" ref="X19:X53" si="4">STDEV(D19,F19,H19,J19,L19,N19,P19,R19,T19)</f>
        <v>5.2770354764232176E-2</v>
      </c>
      <c r="Y19" s="18"/>
      <c r="AA19" s="25" t="s">
        <v>128</v>
      </c>
      <c r="AB19" s="50">
        <v>2.545E-2</v>
      </c>
      <c r="AC19" s="49">
        <v>2.4920000000000001E-2</v>
      </c>
      <c r="AD19" s="89">
        <v>2.487E-2</v>
      </c>
      <c r="AE19" s="89">
        <v>2.4649999999999998E-2</v>
      </c>
      <c r="AF19" s="89">
        <v>2.4580000000000001E-2</v>
      </c>
      <c r="AG19" s="89">
        <v>2.452E-2</v>
      </c>
      <c r="AH19" s="89">
        <v>2.5169999999999998E-2</v>
      </c>
      <c r="AI19" s="89">
        <v>2.4750000000000001E-2</v>
      </c>
      <c r="AJ19" s="89">
        <v>2.452E-2</v>
      </c>
      <c r="AK19" s="89">
        <v>2.4479999999999998E-2</v>
      </c>
      <c r="AL19" s="89">
        <v>2.4750000000000001E-2</v>
      </c>
      <c r="AM19" s="89">
        <v>2.4920000000000001E-2</v>
      </c>
      <c r="AN19" s="89">
        <v>2.4840000000000001E-2</v>
      </c>
      <c r="AO19" s="89">
        <v>2.4209999999999999E-2</v>
      </c>
      <c r="AP19" s="89">
        <v>2.4840000000000001E-2</v>
      </c>
      <c r="AQ19" s="89">
        <v>2.4620000000000003E-2</v>
      </c>
      <c r="AR19" s="24">
        <f t="shared" ref="AR19:AR26" si="5">AVERAGE(AB19:AQ19)</f>
        <v>2.4755625000000003E-2</v>
      </c>
      <c r="AS19" s="24"/>
      <c r="AT19" s="25" t="s">
        <v>128</v>
      </c>
      <c r="AU19" s="48">
        <v>4.4639999999999999E-2</v>
      </c>
      <c r="AV19" s="49"/>
      <c r="AW19" s="50">
        <v>7.1432999999999996E-2</v>
      </c>
      <c r="AX19" s="49"/>
      <c r="AY19" s="50">
        <v>0.1154</v>
      </c>
      <c r="AZ19" s="49"/>
      <c r="BA19" s="50">
        <v>0.12661900000000001</v>
      </c>
      <c r="BB19" s="49"/>
      <c r="BC19" s="50">
        <v>9.6335000000000004E-2</v>
      </c>
      <c r="BD19" s="49"/>
      <c r="BE19" s="50">
        <v>0.115396</v>
      </c>
      <c r="BF19" s="49"/>
      <c r="BG19" s="50">
        <v>0.116359</v>
      </c>
      <c r="BH19" s="49"/>
      <c r="BI19" s="50">
        <v>9.6335000000000004E-2</v>
      </c>
      <c r="BJ19" s="49"/>
      <c r="BL19" s="50">
        <f>AR19</f>
        <v>2.4755625000000003E-2</v>
      </c>
      <c r="BM19" s="49"/>
      <c r="BO19" s="24"/>
    </row>
    <row r="20" spans="1:67" x14ac:dyDescent="0.35">
      <c r="A20" s="17">
        <v>671</v>
      </c>
      <c r="B20" s="25" t="s">
        <v>129</v>
      </c>
      <c r="C20" s="48">
        <v>2.4299999999999999E-3</v>
      </c>
      <c r="D20" s="49">
        <v>5.9300000000000004E-3</v>
      </c>
      <c r="E20" s="50">
        <v>8.4650000000000003E-3</v>
      </c>
      <c r="F20" s="49">
        <v>2.138E-2</v>
      </c>
      <c r="G20" s="50">
        <v>2.5739999999999999E-2</v>
      </c>
      <c r="H20" s="49">
        <v>5.9420000000000001E-2</v>
      </c>
      <c r="I20" s="50">
        <v>3.1685999999999999E-2</v>
      </c>
      <c r="J20" s="49">
        <v>7.1139999999999995E-2</v>
      </c>
      <c r="K20" s="50">
        <v>1.7981E-2</v>
      </c>
      <c r="L20" s="49">
        <v>4.3119999999999999E-2</v>
      </c>
      <c r="M20" s="50">
        <v>2.5697999999999999E-2</v>
      </c>
      <c r="N20" s="49">
        <v>5.9380000000000002E-2</v>
      </c>
      <c r="O20" s="50">
        <v>2.6988000000000002E-2</v>
      </c>
      <c r="P20" s="49">
        <v>6.2019999999999999E-2</v>
      </c>
      <c r="Q20" s="50">
        <f>BL20</f>
        <v>1.5041875000000003E-3</v>
      </c>
      <c r="R20" s="51">
        <f t="shared" si="0"/>
        <v>4.0077662199647316E-3</v>
      </c>
      <c r="S20" s="50">
        <v>1.7981E-2</v>
      </c>
      <c r="T20" s="51">
        <f t="shared" si="1"/>
        <v>4.3111626456361331E-2</v>
      </c>
      <c r="U20" s="52">
        <f>12.0107*3+1.00794*8</f>
        <v>44.095619999999997</v>
      </c>
      <c r="V20" s="24">
        <f t="shared" si="3"/>
        <v>4.1056599186258452E-2</v>
      </c>
      <c r="W20" s="24">
        <f t="shared" si="2"/>
        <v>4.1585796639983581E-2</v>
      </c>
      <c r="X20" s="97">
        <f t="shared" si="4"/>
        <v>2.5048902159368738E-2</v>
      </c>
      <c r="Y20" s="18"/>
      <c r="AA20" s="25" t="s">
        <v>129</v>
      </c>
      <c r="AB20" s="50">
        <v>1.47E-3</v>
      </c>
      <c r="AC20" s="49">
        <v>1.4300000000000001E-3</v>
      </c>
      <c r="AD20" s="89">
        <v>1.4299999999999998E-3</v>
      </c>
      <c r="AE20" s="89">
        <v>1.4199999999999998E-3</v>
      </c>
      <c r="AF20" s="89">
        <v>1.4399999999999999E-3</v>
      </c>
      <c r="AG20" s="89">
        <v>1.4000000000000002E-3</v>
      </c>
      <c r="AH20" s="89">
        <v>1.4099999999999998E-3</v>
      </c>
      <c r="AI20" s="89">
        <v>1.3800000000000002E-3</v>
      </c>
      <c r="AJ20" s="89">
        <v>1.4099999999999998E-3</v>
      </c>
      <c r="AK20" s="89">
        <v>1.4099999999999998E-3</v>
      </c>
      <c r="AL20" s="89">
        <v>1.34E-3</v>
      </c>
      <c r="AM20" s="89">
        <v>1.3700000000000001E-3</v>
      </c>
      <c r="AN20" s="89">
        <v>1.3500000000000001E-3</v>
      </c>
      <c r="AO20" s="89">
        <v>3.1369999999999996E-3</v>
      </c>
      <c r="AP20" s="89">
        <v>1.34E-3</v>
      </c>
      <c r="AQ20" s="89">
        <v>1.33E-3</v>
      </c>
      <c r="AR20" s="24">
        <f t="shared" si="5"/>
        <v>1.5041875000000003E-3</v>
      </c>
      <c r="AS20" s="24"/>
      <c r="AT20" s="25" t="s">
        <v>129</v>
      </c>
      <c r="AU20" s="48">
        <v>2.4299999999999999E-3</v>
      </c>
      <c r="AV20" s="49"/>
      <c r="AW20" s="50">
        <v>8.4650000000000003E-3</v>
      </c>
      <c r="AX20" s="49"/>
      <c r="AY20" s="50">
        <v>2.5739999999999999E-2</v>
      </c>
      <c r="AZ20" s="49"/>
      <c r="BA20" s="50">
        <v>3.1685999999999999E-2</v>
      </c>
      <c r="BB20" s="49"/>
      <c r="BC20" s="50">
        <v>1.7981E-2</v>
      </c>
      <c r="BD20" s="49"/>
      <c r="BE20" s="50">
        <v>2.5697999999999999E-2</v>
      </c>
      <c r="BF20" s="49"/>
      <c r="BG20" s="50">
        <v>2.6988000000000002E-2</v>
      </c>
      <c r="BH20" s="49"/>
      <c r="BI20" s="50">
        <v>1.7981E-2</v>
      </c>
      <c r="BJ20" s="49"/>
      <c r="BL20" s="50">
        <f>AR20</f>
        <v>1.5041875000000003E-3</v>
      </c>
      <c r="BM20" s="49"/>
      <c r="BO20" s="24"/>
    </row>
    <row r="21" spans="1:67" x14ac:dyDescent="0.35">
      <c r="A21" s="17">
        <v>491</v>
      </c>
      <c r="B21" s="25" t="s">
        <v>130</v>
      </c>
      <c r="C21" s="48">
        <v>1.2999999999999999E-4</v>
      </c>
      <c r="D21" s="49">
        <v>4.2000000000000002E-4</v>
      </c>
      <c r="E21" s="50">
        <v>8.4999999999999995E-4</v>
      </c>
      <c r="F21" s="49">
        <v>2.8300000000000001E-3</v>
      </c>
      <c r="G21" s="50">
        <v>3.5599999999999998E-3</v>
      </c>
      <c r="H21" s="49">
        <v>1.0840000000000001E-2</v>
      </c>
      <c r="I21" s="50">
        <v>4.0070000000000001E-3</v>
      </c>
      <c r="J21" s="49">
        <v>1.1860000000000001E-2</v>
      </c>
      <c r="K21" s="50">
        <v>2.3379999999999998E-3</v>
      </c>
      <c r="L21" s="49">
        <v>7.3899999999999999E-3</v>
      </c>
      <c r="M21" s="50">
        <v>3.4169999999999999E-3</v>
      </c>
      <c r="N21" s="49">
        <v>1.0410000000000001E-2</v>
      </c>
      <c r="O21" s="50">
        <v>3.7520000000000001E-3</v>
      </c>
      <c r="P21" s="49">
        <v>1.136E-2</v>
      </c>
      <c r="Q21" s="50">
        <f>BL21</f>
        <v>3.9375000000000002E-5</v>
      </c>
      <c r="R21" s="51">
        <f t="shared" si="0"/>
        <v>1.3828260845873388E-4</v>
      </c>
      <c r="S21" s="50">
        <v>2.3379999999999998E-3</v>
      </c>
      <c r="T21" s="51">
        <f t="shared" si="1"/>
        <v>7.3887617780908927E-3</v>
      </c>
      <c r="U21" s="52">
        <f>12.0107*4+1.00794*10</f>
        <v>58.122199999999999</v>
      </c>
      <c r="V21" s="24">
        <f t="shared" si="3"/>
        <v>6.959671598505514E-3</v>
      </c>
      <c r="W21" s="24">
        <f t="shared" si="2"/>
        <v>7.0493780174902829E-3</v>
      </c>
      <c r="X21" s="97">
        <f t="shared" si="4"/>
        <v>4.7045186239106909E-3</v>
      </c>
      <c r="Y21" s="18"/>
      <c r="AA21" s="25" t="s">
        <v>130</v>
      </c>
      <c r="AB21" s="50">
        <v>3.0000000000000001E-5</v>
      </c>
      <c r="AC21" s="49">
        <v>3.0000000000000001E-5</v>
      </c>
      <c r="AD21" s="89">
        <v>5.0000000000000002E-5</v>
      </c>
      <c r="AE21" s="89">
        <v>4.0000000000000003E-5</v>
      </c>
      <c r="AF21" s="89">
        <v>5.0000000000000002E-5</v>
      </c>
      <c r="AG21" s="89">
        <v>4.0000000000000003E-5</v>
      </c>
      <c r="AH21" s="89">
        <v>3.0000000000000001E-5</v>
      </c>
      <c r="AI21" s="89">
        <v>4.0000000000000003E-5</v>
      </c>
      <c r="AJ21" s="89">
        <v>3.0000000000000001E-5</v>
      </c>
      <c r="AK21" s="89">
        <v>5.0000000000000002E-5</v>
      </c>
      <c r="AL21" s="89">
        <v>4.0000000000000003E-5</v>
      </c>
      <c r="AM21" s="89">
        <v>4.0000000000000003E-5</v>
      </c>
      <c r="AN21" s="89">
        <v>3.0000000000000001E-5</v>
      </c>
      <c r="AO21" s="89">
        <v>4.0000000000000003E-5</v>
      </c>
      <c r="AP21" s="89">
        <v>4.0000000000000003E-5</v>
      </c>
      <c r="AQ21" s="89">
        <v>5.0000000000000002E-5</v>
      </c>
      <c r="AR21" s="24">
        <f t="shared" si="5"/>
        <v>3.9375000000000002E-5</v>
      </c>
      <c r="AS21" s="24"/>
      <c r="AT21" s="25" t="s">
        <v>130</v>
      </c>
      <c r="AU21" s="48">
        <v>1.2999999999999999E-4</v>
      </c>
      <c r="AV21" s="49"/>
      <c r="AW21" s="50">
        <v>8.4999999999999995E-4</v>
      </c>
      <c r="AX21" s="49"/>
      <c r="AY21" s="50">
        <v>3.5599999999999998E-3</v>
      </c>
      <c r="AZ21" s="49"/>
      <c r="BA21" s="50">
        <v>4.0070000000000001E-3</v>
      </c>
      <c r="BB21" s="49"/>
      <c r="BC21" s="50">
        <v>2.3379999999999998E-3</v>
      </c>
      <c r="BD21" s="49"/>
      <c r="BE21" s="50">
        <v>3.4169999999999999E-3</v>
      </c>
      <c r="BF21" s="49"/>
      <c r="BG21" s="50">
        <v>3.7520000000000001E-3</v>
      </c>
      <c r="BH21" s="49"/>
      <c r="BI21" s="50">
        <v>2.3379999999999998E-3</v>
      </c>
      <c r="BJ21" s="49"/>
      <c r="BL21" s="50">
        <f>AR21</f>
        <v>3.9375000000000002E-5</v>
      </c>
      <c r="BM21" s="49"/>
      <c r="BO21" s="24"/>
    </row>
    <row r="22" spans="1:67" x14ac:dyDescent="0.35">
      <c r="A22" s="17">
        <v>592</v>
      </c>
      <c r="B22" s="25" t="s">
        <v>131</v>
      </c>
      <c r="C22" s="48">
        <v>1.8000000000000001E-4</v>
      </c>
      <c r="D22" s="49">
        <v>5.8E-4</v>
      </c>
      <c r="E22" s="50">
        <v>8.7100000000000003E-4</v>
      </c>
      <c r="F22" s="49">
        <v>2.8999999999999998E-3</v>
      </c>
      <c r="G22" s="50">
        <v>4.9300000000000004E-3</v>
      </c>
      <c r="H22" s="49">
        <v>1.499E-2</v>
      </c>
      <c r="I22" s="50">
        <v>6.6280000000000002E-3</v>
      </c>
      <c r="J22" s="49">
        <v>1.9609999999999999E-2</v>
      </c>
      <c r="K22" s="50">
        <v>3.1930000000000001E-3</v>
      </c>
      <c r="L22" s="49">
        <v>1.009E-2</v>
      </c>
      <c r="M22" s="50">
        <v>4.7200000000000002E-3</v>
      </c>
      <c r="N22" s="49">
        <v>1.4370000000000001E-2</v>
      </c>
      <c r="O22" s="50">
        <v>5.2589999999999998E-3</v>
      </c>
      <c r="P22" s="49">
        <v>1.593E-2</v>
      </c>
      <c r="Q22" s="50">
        <f>BL22</f>
        <v>1.1437500000000002E-4</v>
      </c>
      <c r="R22" s="51">
        <f t="shared" si="0"/>
        <v>4.0167805314203655E-4</v>
      </c>
      <c r="S22" s="50">
        <v>3.1930000000000001E-3</v>
      </c>
      <c r="T22" s="51">
        <f t="shared" si="1"/>
        <v>1.0090811102414124E-2</v>
      </c>
      <c r="U22" s="52">
        <f>12.0107*4+1.00794*10</f>
        <v>58.122199999999999</v>
      </c>
      <c r="V22" s="24">
        <f t="shared" si="3"/>
        <v>9.8847210172840188E-3</v>
      </c>
      <c r="W22" s="24">
        <f t="shared" si="2"/>
        <v>1.0012129748080231E-2</v>
      </c>
      <c r="X22" s="97">
        <f t="shared" si="4"/>
        <v>7.0947597533069472E-3</v>
      </c>
      <c r="Y22" s="18"/>
      <c r="AA22" s="25" t="s">
        <v>131</v>
      </c>
      <c r="AB22" s="50">
        <v>1E-4</v>
      </c>
      <c r="AC22" s="49">
        <v>1.2999999999999999E-4</v>
      </c>
      <c r="AD22" s="89">
        <v>1.2999999999999999E-4</v>
      </c>
      <c r="AE22" s="89">
        <v>1.2E-4</v>
      </c>
      <c r="AF22" s="89">
        <v>1.2E-4</v>
      </c>
      <c r="AG22" s="89">
        <v>1.2E-4</v>
      </c>
      <c r="AH22" s="89">
        <v>1.2E-4</v>
      </c>
      <c r="AI22" s="89">
        <v>1.0999999999999999E-4</v>
      </c>
      <c r="AJ22" s="89">
        <v>1.2E-4</v>
      </c>
      <c r="AK22" s="89">
        <v>1.0999999999999999E-4</v>
      </c>
      <c r="AL22" s="89">
        <v>8.9999999999999992E-5</v>
      </c>
      <c r="AM22" s="89">
        <v>1.0999999999999999E-4</v>
      </c>
      <c r="AN22" s="89">
        <v>1E-4</v>
      </c>
      <c r="AO22" s="89">
        <v>1.2E-4</v>
      </c>
      <c r="AP22" s="89">
        <v>1.2999999999999999E-4</v>
      </c>
      <c r="AQ22" s="89">
        <v>1E-4</v>
      </c>
      <c r="AR22" s="24">
        <f t="shared" si="5"/>
        <v>1.1437500000000002E-4</v>
      </c>
      <c r="AS22" s="24"/>
      <c r="AT22" s="25" t="s">
        <v>131</v>
      </c>
      <c r="AU22" s="48">
        <v>1.8000000000000001E-4</v>
      </c>
      <c r="AV22" s="49"/>
      <c r="AW22" s="50">
        <v>8.7100000000000003E-4</v>
      </c>
      <c r="AX22" s="49"/>
      <c r="AY22" s="50">
        <v>4.9300000000000004E-3</v>
      </c>
      <c r="AZ22" s="49"/>
      <c r="BA22" s="50">
        <v>6.6280000000000002E-3</v>
      </c>
      <c r="BB22" s="49"/>
      <c r="BC22" s="50">
        <v>3.1930000000000001E-3</v>
      </c>
      <c r="BD22" s="49"/>
      <c r="BE22" s="50">
        <v>4.7200000000000002E-3</v>
      </c>
      <c r="BF22" s="49"/>
      <c r="BG22" s="50">
        <v>5.2589999999999998E-3</v>
      </c>
      <c r="BH22" s="49"/>
      <c r="BI22" s="50">
        <v>3.1930000000000001E-3</v>
      </c>
      <c r="BJ22" s="49"/>
      <c r="BL22" s="50">
        <f>AR22</f>
        <v>1.1437500000000002E-4</v>
      </c>
      <c r="BM22" s="49"/>
      <c r="BO22" s="24"/>
    </row>
    <row r="23" spans="1:67" x14ac:dyDescent="0.35">
      <c r="A23" s="17">
        <v>127</v>
      </c>
      <c r="B23" s="25" t="s">
        <v>132</v>
      </c>
      <c r="C23" s="48">
        <v>1.0000000000000001E-5</v>
      </c>
      <c r="D23" s="49">
        <v>4.0000000000000003E-5</v>
      </c>
      <c r="E23" s="50"/>
      <c r="F23" s="49"/>
      <c r="G23" s="50"/>
      <c r="H23" s="49"/>
      <c r="I23" s="50"/>
      <c r="J23" s="49"/>
      <c r="K23" s="50"/>
      <c r="L23" s="49"/>
      <c r="M23" s="50"/>
      <c r="N23" s="49"/>
      <c r="O23" s="50"/>
      <c r="P23" s="49"/>
      <c r="Q23" s="50"/>
      <c r="R23" s="51"/>
      <c r="S23" s="50"/>
      <c r="T23" s="51"/>
      <c r="U23" s="53"/>
      <c r="V23" s="24">
        <f t="shared" si="3"/>
        <v>4.0000000000000003E-5</v>
      </c>
      <c r="W23" s="24">
        <f t="shared" si="2"/>
        <v>4.0515578459213697E-5</v>
      </c>
      <c r="X23" s="97"/>
      <c r="Y23" s="18"/>
      <c r="AA23" s="25"/>
      <c r="AB23" s="50"/>
      <c r="AC23" s="49"/>
      <c r="AD23" s="24"/>
      <c r="AE23" s="24"/>
      <c r="AF23" s="24"/>
      <c r="AG23" s="24"/>
      <c r="AH23" s="24"/>
      <c r="AI23" s="24"/>
      <c r="AJ23" s="24"/>
      <c r="AK23" s="24"/>
      <c r="AL23" s="24"/>
      <c r="AM23" s="24"/>
      <c r="AN23" s="89"/>
      <c r="AO23" s="24"/>
      <c r="AP23" s="24"/>
      <c r="AQ23" s="24"/>
      <c r="AR23" s="24"/>
      <c r="AS23" s="24"/>
      <c r="AT23" s="25" t="s">
        <v>132</v>
      </c>
      <c r="AU23" s="48">
        <v>1.0000000000000001E-5</v>
      </c>
      <c r="AV23" s="49"/>
      <c r="AW23" s="50"/>
      <c r="AX23" s="49"/>
      <c r="AY23" s="50"/>
      <c r="AZ23" s="49"/>
      <c r="BA23" s="50"/>
      <c r="BB23" s="49"/>
      <c r="BC23" s="50"/>
      <c r="BD23" s="49"/>
      <c r="BE23" s="50"/>
      <c r="BF23" s="49"/>
      <c r="BG23" s="50"/>
      <c r="BH23" s="49"/>
      <c r="BI23" s="50"/>
      <c r="BJ23" s="49"/>
      <c r="BL23" s="50"/>
      <c r="BM23" s="49"/>
      <c r="BO23" s="24"/>
    </row>
    <row r="24" spans="1:67" x14ac:dyDescent="0.35">
      <c r="A24" s="17">
        <v>508</v>
      </c>
      <c r="B24" s="25" t="s">
        <v>133</v>
      </c>
      <c r="C24" s="48">
        <v>1.2999999999999999E-4</v>
      </c>
      <c r="D24" s="49">
        <v>5.1999999999999995E-4</v>
      </c>
      <c r="E24" s="50">
        <v>1.8699999999999999E-3</v>
      </c>
      <c r="F24" s="49">
        <v>7.6999999999999996E-4</v>
      </c>
      <c r="G24" s="50">
        <v>1.5100000000000001E-3</v>
      </c>
      <c r="H24" s="49">
        <v>5.7099999999999998E-3</v>
      </c>
      <c r="I24" s="50">
        <v>1.799E-3</v>
      </c>
      <c r="J24" s="49">
        <v>6.6100000000000004E-3</v>
      </c>
      <c r="K24" s="50">
        <v>9.3300000000000002E-4</v>
      </c>
      <c r="L24" s="49">
        <v>3.6600000000000001E-3</v>
      </c>
      <c r="M24" s="50">
        <v>1.4580000000000001E-3</v>
      </c>
      <c r="N24" s="49">
        <v>5.5100000000000001E-3</v>
      </c>
      <c r="O24" s="50">
        <v>1.5479999999999999E-3</v>
      </c>
      <c r="P24" s="49">
        <v>5.8199999999999997E-3</v>
      </c>
      <c r="Q24" s="50">
        <f>BL24</f>
        <v>5.6250000000000012E-6</v>
      </c>
      <c r="R24" s="51">
        <f>Q24*U24/$R$56</f>
        <v>2.4522032878303524E-5</v>
      </c>
      <c r="S24" s="50">
        <v>9.3300000000000002E-4</v>
      </c>
      <c r="T24" s="51">
        <f>S24*U24/$T$56</f>
        <v>3.6601235774856469E-3</v>
      </c>
      <c r="U24" s="52">
        <f>12.0107*5+1.00794*12</f>
        <v>72.148780000000002</v>
      </c>
      <c r="V24" s="24">
        <f t="shared" si="3"/>
        <v>3.5871828455959942E-3</v>
      </c>
      <c r="W24" s="24">
        <f t="shared" si="2"/>
        <v>3.6334197007072484E-3</v>
      </c>
      <c r="X24" s="97">
        <f t="shared" si="4"/>
        <v>2.5586563618166681E-3</v>
      </c>
      <c r="Y24" s="18"/>
      <c r="AA24" s="25" t="s">
        <v>133</v>
      </c>
      <c r="AB24" s="50">
        <v>2.0000000000000002E-5</v>
      </c>
      <c r="AC24" s="49">
        <v>1.0000000000000001E-5</v>
      </c>
      <c r="AD24" s="24">
        <v>0</v>
      </c>
      <c r="AE24" s="24">
        <v>0</v>
      </c>
      <c r="AF24" s="24">
        <v>2.0000000000000002E-5</v>
      </c>
      <c r="AG24" s="89">
        <v>0</v>
      </c>
      <c r="AH24" s="89">
        <v>0</v>
      </c>
      <c r="AI24" s="89">
        <v>0</v>
      </c>
      <c r="AJ24" s="89">
        <v>0</v>
      </c>
      <c r="AK24" s="89">
        <v>0</v>
      </c>
      <c r="AL24" s="89">
        <v>0</v>
      </c>
      <c r="AM24" s="89">
        <v>4.0000000000000003E-5</v>
      </c>
      <c r="AN24" s="89">
        <v>0</v>
      </c>
      <c r="AO24" s="89">
        <v>0</v>
      </c>
      <c r="AP24" s="89">
        <v>0</v>
      </c>
      <c r="AQ24" s="89">
        <v>0</v>
      </c>
      <c r="AR24" s="24">
        <f t="shared" si="5"/>
        <v>5.6250000000000012E-6</v>
      </c>
      <c r="AS24" s="24"/>
      <c r="AT24" s="25" t="s">
        <v>133</v>
      </c>
      <c r="AU24" s="48">
        <v>1.2999999999999999E-4</v>
      </c>
      <c r="AV24" s="49"/>
      <c r="AW24" s="50">
        <v>1.8699999999999999E-3</v>
      </c>
      <c r="AX24" s="49"/>
      <c r="AY24" s="50">
        <v>1.5100000000000001E-3</v>
      </c>
      <c r="AZ24" s="49"/>
      <c r="BA24" s="50">
        <v>1.799E-3</v>
      </c>
      <c r="BB24" s="49"/>
      <c r="BC24" s="50">
        <v>9.3300000000000002E-4</v>
      </c>
      <c r="BD24" s="49"/>
      <c r="BE24" s="50">
        <v>1.4580000000000001E-3</v>
      </c>
      <c r="BF24" s="49"/>
      <c r="BG24" s="50">
        <v>1.5479999999999999E-3</v>
      </c>
      <c r="BH24" s="49"/>
      <c r="BI24" s="50">
        <v>9.3300000000000002E-4</v>
      </c>
      <c r="BJ24" s="49"/>
      <c r="BL24" s="50">
        <f>AR24</f>
        <v>5.6250000000000012E-6</v>
      </c>
      <c r="BM24" s="49"/>
      <c r="BO24" s="24"/>
    </row>
    <row r="25" spans="1:67" x14ac:dyDescent="0.35">
      <c r="A25" s="17">
        <v>605</v>
      </c>
      <c r="B25" s="25" t="s">
        <v>134</v>
      </c>
      <c r="C25" s="48">
        <v>1.3999999999999999E-4</v>
      </c>
      <c r="D25" s="49">
        <v>5.5999999999999995E-4</v>
      </c>
      <c r="E25" s="50">
        <v>8.3999999999999995E-5</v>
      </c>
      <c r="F25" s="49">
        <v>3.5E-4</v>
      </c>
      <c r="G25" s="50">
        <v>9.7000000000000005E-4</v>
      </c>
      <c r="H25" s="49">
        <v>3.65E-3</v>
      </c>
      <c r="I25" s="50">
        <v>1.371E-3</v>
      </c>
      <c r="J25" s="49">
        <v>5.0400000000000002E-3</v>
      </c>
      <c r="K25" s="50">
        <v>5.6499999999999996E-4</v>
      </c>
      <c r="L25" s="49">
        <v>2.2200000000000002E-3</v>
      </c>
      <c r="M25" s="50">
        <v>9.3599999999999998E-4</v>
      </c>
      <c r="N25" s="49">
        <v>3.5400000000000002E-3</v>
      </c>
      <c r="O25" s="50">
        <v>1.0139999999999999E-3</v>
      </c>
      <c r="P25" s="49">
        <v>3.81E-3</v>
      </c>
      <c r="Q25" s="50">
        <f>BL25</f>
        <v>5.6250000000000004E-6</v>
      </c>
      <c r="R25" s="51">
        <f>Q25*U25/$R$56</f>
        <v>2.4522032878303521E-5</v>
      </c>
      <c r="S25" s="50">
        <v>5.6499999999999996E-4</v>
      </c>
      <c r="T25" s="51">
        <f>S25*U25/$T$56</f>
        <v>2.2164735490668706E-3</v>
      </c>
      <c r="U25" s="52">
        <f>12.0107*5+1.00794*12</f>
        <v>72.148780000000002</v>
      </c>
      <c r="V25" s="24">
        <f t="shared" si="3"/>
        <v>2.3789995091050196E-3</v>
      </c>
      <c r="W25" s="24">
        <f t="shared" si="2"/>
        <v>2.4096635316393821E-3</v>
      </c>
      <c r="X25" s="97">
        <f t="shared" si="4"/>
        <v>1.7717543687300545E-3</v>
      </c>
      <c r="Y25" s="18"/>
      <c r="AA25" s="25" t="s">
        <v>134</v>
      </c>
      <c r="AB25" s="50">
        <v>2.0000000000000002E-5</v>
      </c>
      <c r="AC25" s="49">
        <v>2.0000000000000002E-5</v>
      </c>
      <c r="AD25" s="24">
        <v>1.0000000000000001E-5</v>
      </c>
      <c r="AE25" s="24">
        <v>0</v>
      </c>
      <c r="AF25" s="24">
        <v>1.0000000000000001E-5</v>
      </c>
      <c r="AG25" s="89">
        <v>0</v>
      </c>
      <c r="AH25" s="89">
        <v>0</v>
      </c>
      <c r="AI25" s="89">
        <v>0</v>
      </c>
      <c r="AJ25" s="89">
        <v>0</v>
      </c>
      <c r="AK25" s="89">
        <v>0</v>
      </c>
      <c r="AL25" s="89">
        <v>0</v>
      </c>
      <c r="AM25" s="89">
        <v>3.0000000000000001E-5</v>
      </c>
      <c r="AN25" s="89">
        <v>0</v>
      </c>
      <c r="AO25" s="89">
        <v>0</v>
      </c>
      <c r="AP25" s="89">
        <v>0</v>
      </c>
      <c r="AQ25" s="89">
        <v>0</v>
      </c>
      <c r="AR25" s="24">
        <f t="shared" si="5"/>
        <v>5.6250000000000004E-6</v>
      </c>
      <c r="AS25" s="24"/>
      <c r="AT25" s="25" t="s">
        <v>134</v>
      </c>
      <c r="AU25" s="48">
        <v>1.3999999999999999E-4</v>
      </c>
      <c r="AV25" s="49"/>
      <c r="AW25" s="50">
        <v>8.3999999999999995E-5</v>
      </c>
      <c r="AX25" s="49"/>
      <c r="AY25" s="50">
        <v>9.7000000000000005E-4</v>
      </c>
      <c r="AZ25" s="49"/>
      <c r="BA25" s="50">
        <v>1.371E-3</v>
      </c>
      <c r="BB25" s="49"/>
      <c r="BC25" s="50">
        <v>5.6499999999999996E-4</v>
      </c>
      <c r="BD25" s="49"/>
      <c r="BE25" s="50">
        <v>9.3599999999999998E-4</v>
      </c>
      <c r="BF25" s="49"/>
      <c r="BG25" s="50">
        <v>1.0139999999999999E-3</v>
      </c>
      <c r="BH25" s="49"/>
      <c r="BI25" s="50">
        <v>5.6499999999999996E-4</v>
      </c>
      <c r="BJ25" s="49"/>
      <c r="BL25" s="50">
        <f>AR25</f>
        <v>5.6250000000000004E-6</v>
      </c>
      <c r="BM25" s="49"/>
      <c r="BO25" s="24"/>
    </row>
    <row r="26" spans="1:67" x14ac:dyDescent="0.35">
      <c r="A26" s="17">
        <v>390</v>
      </c>
      <c r="B26" s="25" t="s">
        <v>136</v>
      </c>
      <c r="C26" s="54">
        <v>0</v>
      </c>
      <c r="D26" s="55">
        <v>0</v>
      </c>
      <c r="E26" s="56">
        <v>0</v>
      </c>
      <c r="F26" s="55">
        <v>0</v>
      </c>
      <c r="G26" s="56">
        <v>0</v>
      </c>
      <c r="H26" s="55">
        <v>0</v>
      </c>
      <c r="I26" s="56">
        <v>0</v>
      </c>
      <c r="J26" s="55">
        <v>0</v>
      </c>
      <c r="K26" s="56">
        <v>5.5000000000000002E-5</v>
      </c>
      <c r="L26" s="55">
        <v>2.1000000000000001E-4</v>
      </c>
      <c r="M26" s="56">
        <v>0</v>
      </c>
      <c r="N26" s="55">
        <v>0</v>
      </c>
      <c r="O26" s="56"/>
      <c r="P26" s="55"/>
      <c r="Q26" s="56"/>
      <c r="R26" s="51"/>
      <c r="S26" s="56">
        <v>5.5000000000000002E-5</v>
      </c>
      <c r="T26" s="51">
        <f>S26*U26/$T$56</f>
        <v>2.0973436724654757E-4</v>
      </c>
      <c r="U26" s="53">
        <v>70.132900000000006</v>
      </c>
      <c r="V26" s="24">
        <f t="shared" si="3"/>
        <v>5.9962052463792513E-5</v>
      </c>
      <c r="W26" s="24">
        <f t="shared" si="2"/>
        <v>6.073493102930683E-5</v>
      </c>
      <c r="X26" s="97">
        <f t="shared" si="4"/>
        <v>1.0240472861365292E-4</v>
      </c>
      <c r="Y26" s="18"/>
      <c r="AA26" s="25" t="s">
        <v>171</v>
      </c>
      <c r="AB26" s="56">
        <v>1.0000000000000001E-5</v>
      </c>
      <c r="AC26" s="55">
        <v>1.0000000000000001E-5</v>
      </c>
      <c r="AD26" s="24">
        <v>2.0000000000000002E-5</v>
      </c>
      <c r="AE26" s="24">
        <v>0</v>
      </c>
      <c r="AF26" s="24">
        <v>1.0000000000000001E-5</v>
      </c>
      <c r="AG26" s="89">
        <v>0</v>
      </c>
      <c r="AH26" s="89">
        <v>0</v>
      </c>
      <c r="AI26" s="89">
        <v>1.0000000000000001E-5</v>
      </c>
      <c r="AJ26" s="89">
        <v>1.0000000000000001E-5</v>
      </c>
      <c r="AK26" s="89">
        <v>1.0000000000000001E-5</v>
      </c>
      <c r="AL26" s="89">
        <v>0</v>
      </c>
      <c r="AM26" s="89">
        <v>0</v>
      </c>
      <c r="AN26" s="89">
        <v>1.0000000000000001E-5</v>
      </c>
      <c r="AO26" s="89">
        <v>1.0000000000000001E-5</v>
      </c>
      <c r="AP26" s="89">
        <v>0</v>
      </c>
      <c r="AQ26" s="89">
        <v>0</v>
      </c>
      <c r="AR26" s="24">
        <f t="shared" si="5"/>
        <v>6.2500000000000003E-6</v>
      </c>
      <c r="AS26" s="24"/>
      <c r="AT26" s="25" t="s">
        <v>136</v>
      </c>
      <c r="AU26" s="54">
        <v>0</v>
      </c>
      <c r="AV26" s="55"/>
      <c r="AW26" s="56">
        <v>0</v>
      </c>
      <c r="AX26" s="55"/>
      <c r="AY26" s="56">
        <v>0</v>
      </c>
      <c r="AZ26" s="55"/>
      <c r="BA26" s="56">
        <v>0</v>
      </c>
      <c r="BB26" s="55"/>
      <c r="BC26" s="56">
        <v>5.5000000000000002E-5</v>
      </c>
      <c r="BD26" s="55"/>
      <c r="BE26" s="56">
        <v>0</v>
      </c>
      <c r="BF26" s="55"/>
      <c r="BG26" s="56"/>
      <c r="BH26" s="55"/>
      <c r="BI26" s="56">
        <v>5.5000000000000002E-5</v>
      </c>
      <c r="BJ26" s="55"/>
      <c r="BL26" s="56"/>
      <c r="BM26" s="55"/>
      <c r="BO26" s="24"/>
    </row>
    <row r="27" spans="1:67" x14ac:dyDescent="0.35">
      <c r="A27" s="17">
        <v>122</v>
      </c>
      <c r="B27" s="25" t="s">
        <v>135</v>
      </c>
      <c r="C27" s="54">
        <v>1.0000000000000001E-5</v>
      </c>
      <c r="D27" s="55">
        <v>5.0000000000000002E-5</v>
      </c>
      <c r="E27" s="56"/>
      <c r="F27" s="55"/>
      <c r="G27" s="56"/>
      <c r="H27" s="55"/>
      <c r="I27" s="56"/>
      <c r="J27" s="55"/>
      <c r="K27" s="56"/>
      <c r="L27" s="55"/>
      <c r="M27" s="56"/>
      <c r="N27" s="55"/>
      <c r="O27" s="56">
        <v>0</v>
      </c>
      <c r="P27" s="55">
        <v>0</v>
      </c>
      <c r="Q27" s="56">
        <f>BL27</f>
        <v>2.146291208791209E-9</v>
      </c>
      <c r="R27" s="51">
        <f t="shared" ref="R27:R53" si="6">Q27*U27/$R$56</f>
        <v>0</v>
      </c>
      <c r="S27" s="56"/>
      <c r="T27" s="57"/>
      <c r="U27" s="53"/>
      <c r="V27" s="24">
        <f t="shared" si="3"/>
        <v>1.6666666666666667E-5</v>
      </c>
      <c r="W27" s="24">
        <f t="shared" si="2"/>
        <v>1.6881491024672372E-5</v>
      </c>
      <c r="X27" s="97">
        <f t="shared" si="4"/>
        <v>2.8867513459481293E-5</v>
      </c>
      <c r="Y27" s="18"/>
      <c r="AA27" s="25" t="s">
        <v>135</v>
      </c>
      <c r="AB27" s="56"/>
      <c r="AC27" s="55"/>
      <c r="AT27" s="25" t="s">
        <v>135</v>
      </c>
      <c r="AU27" s="54">
        <v>1.0000000000000001E-5</v>
      </c>
      <c r="AV27" s="55">
        <f>AU27/AU$55</f>
        <v>2.7472527472527475E-3</v>
      </c>
      <c r="AW27" s="56"/>
      <c r="AX27" s="55">
        <f>AW27/AW$55</f>
        <v>0</v>
      </c>
      <c r="AY27" s="56"/>
      <c r="AZ27" s="55">
        <f>AY27/AY$55</f>
        <v>0</v>
      </c>
      <c r="BA27" s="56"/>
      <c r="BB27" s="55">
        <f>BA27/BA$55</f>
        <v>0</v>
      </c>
      <c r="BC27" s="56"/>
      <c r="BD27" s="55">
        <f>BC27/BC$55</f>
        <v>0</v>
      </c>
      <c r="BE27" s="56"/>
      <c r="BF27" s="55">
        <f>BE27/BE$55</f>
        <v>0</v>
      </c>
      <c r="BG27" s="56">
        <v>0</v>
      </c>
      <c r="BH27" s="55">
        <f>BG27/BG$55</f>
        <v>0</v>
      </c>
      <c r="BI27" s="56"/>
      <c r="BJ27" s="55">
        <f>BI27/BI$55</f>
        <v>0</v>
      </c>
      <c r="BK27" s="24">
        <f>AVERAGE(AV27,AX27,AZ27,BB27,BD27,BF27,BH27,BJ27)</f>
        <v>3.4340659340659343E-4</v>
      </c>
      <c r="BL27" s="56">
        <f t="shared" ref="BL27:BL53" si="7">BK27*$AR$26</f>
        <v>2.146291208791209E-9</v>
      </c>
      <c r="BM27" s="55"/>
    </row>
    <row r="28" spans="1:67" x14ac:dyDescent="0.35">
      <c r="A28" s="17">
        <v>136</v>
      </c>
      <c r="B28" s="25" t="s">
        <v>137</v>
      </c>
      <c r="C28" s="54">
        <v>6.0000000000000002E-5</v>
      </c>
      <c r="D28" s="55">
        <v>2.4000000000000001E-4</v>
      </c>
      <c r="E28" s="56"/>
      <c r="F28" s="55"/>
      <c r="G28" s="56"/>
      <c r="H28" s="55"/>
      <c r="I28" s="56"/>
      <c r="J28" s="55"/>
      <c r="K28" s="56"/>
      <c r="L28" s="55"/>
      <c r="M28" s="56"/>
      <c r="N28" s="55"/>
      <c r="O28" s="56"/>
      <c r="P28" s="55"/>
      <c r="Q28" s="56">
        <f t="shared" ref="Q28:Q53" si="8">BL28</f>
        <v>1.2877747252747253E-8</v>
      </c>
      <c r="R28" s="51">
        <f t="shared" si="6"/>
        <v>0</v>
      </c>
      <c r="S28" s="56"/>
      <c r="T28" s="57"/>
      <c r="U28" s="53"/>
      <c r="V28" s="24">
        <f t="shared" si="3"/>
        <v>1.2E-4</v>
      </c>
      <c r="W28" s="24">
        <f t="shared" si="2"/>
        <v>1.2154673537764108E-4</v>
      </c>
      <c r="X28" s="97">
        <f t="shared" si="4"/>
        <v>1.6970562748477139E-4</v>
      </c>
      <c r="Y28" s="18"/>
      <c r="AA28" s="25" t="s">
        <v>137</v>
      </c>
      <c r="AB28" s="56"/>
      <c r="AC28" s="55"/>
      <c r="AT28" s="25" t="s">
        <v>137</v>
      </c>
      <c r="AU28" s="54">
        <v>6.0000000000000002E-5</v>
      </c>
      <c r="AV28" s="55">
        <f t="shared" ref="AV28:AV53" si="9">AU28/AU$55</f>
        <v>1.6483516483516484E-2</v>
      </c>
      <c r="AW28" s="56"/>
      <c r="AX28" s="55">
        <f t="shared" ref="AX28:AX53" si="10">AW28/AW$55</f>
        <v>0</v>
      </c>
      <c r="AY28" s="56"/>
      <c r="AZ28" s="55">
        <f t="shared" ref="AZ28:AZ53" si="11">AY28/AY$55</f>
        <v>0</v>
      </c>
      <c r="BA28" s="56"/>
      <c r="BB28" s="55">
        <f t="shared" ref="BB28:BB53" si="12">BA28/BA$55</f>
        <v>0</v>
      </c>
      <c r="BC28" s="56"/>
      <c r="BD28" s="55">
        <f t="shared" ref="BD28:BD53" si="13">BC28/BC$55</f>
        <v>0</v>
      </c>
      <c r="BE28" s="56"/>
      <c r="BF28" s="55">
        <f t="shared" ref="BF28:BF53" si="14">BE28/BE$55</f>
        <v>0</v>
      </c>
      <c r="BG28" s="56"/>
      <c r="BH28" s="55">
        <f t="shared" ref="BH28:BH53" si="15">BG28/BG$55</f>
        <v>0</v>
      </c>
      <c r="BI28" s="56"/>
      <c r="BJ28" s="55">
        <f t="shared" ref="BJ28:BJ53" si="16">BI28/BI$55</f>
        <v>0</v>
      </c>
      <c r="BK28" s="24">
        <f t="shared" ref="BK28:BK53" si="17">AVERAGE(AV28,AX28,AZ28,BB28,BD28,BF28,BH28,BJ28)</f>
        <v>2.0604395604395605E-3</v>
      </c>
      <c r="BL28" s="56">
        <f t="shared" si="7"/>
        <v>1.2877747252747253E-8</v>
      </c>
      <c r="BM28" s="55"/>
    </row>
    <row r="29" spans="1:67" x14ac:dyDescent="0.35">
      <c r="A29" s="17">
        <v>199</v>
      </c>
      <c r="B29" s="25" t="s">
        <v>138</v>
      </c>
      <c r="C29" s="54">
        <v>2.2000000000000001E-4</v>
      </c>
      <c r="D29" s="55">
        <v>1.0499999999999999E-3</v>
      </c>
      <c r="E29" s="56"/>
      <c r="F29" s="55"/>
      <c r="G29" s="56"/>
      <c r="H29" s="55"/>
      <c r="I29" s="56"/>
      <c r="J29" s="55"/>
      <c r="K29" s="56"/>
      <c r="L29" s="55"/>
      <c r="M29" s="56"/>
      <c r="N29" s="55"/>
      <c r="O29" s="56"/>
      <c r="P29" s="55"/>
      <c r="Q29" s="56">
        <f t="shared" si="8"/>
        <v>4.7218406593406597E-8</v>
      </c>
      <c r="R29" s="51">
        <f t="shared" si="6"/>
        <v>0</v>
      </c>
      <c r="S29" s="56"/>
      <c r="T29" s="57"/>
      <c r="U29" s="53"/>
      <c r="V29" s="24">
        <f t="shared" si="3"/>
        <v>5.2499999999999997E-4</v>
      </c>
      <c r="W29" s="24">
        <f t="shared" si="2"/>
        <v>5.3176696727717972E-4</v>
      </c>
      <c r="X29" s="97">
        <f t="shared" si="4"/>
        <v>7.4246212024587483E-4</v>
      </c>
      <c r="Y29" s="18"/>
      <c r="AA29" s="25" t="s">
        <v>138</v>
      </c>
      <c r="AB29" s="56"/>
      <c r="AC29" s="55"/>
      <c r="AT29" s="25" t="s">
        <v>138</v>
      </c>
      <c r="AU29" s="54">
        <v>2.2000000000000001E-4</v>
      </c>
      <c r="AV29" s="55">
        <f t="shared" si="9"/>
        <v>6.043956043956044E-2</v>
      </c>
      <c r="AW29" s="56"/>
      <c r="AX29" s="55">
        <f t="shared" si="10"/>
        <v>0</v>
      </c>
      <c r="AY29" s="56"/>
      <c r="AZ29" s="55">
        <f t="shared" si="11"/>
        <v>0</v>
      </c>
      <c r="BA29" s="56"/>
      <c r="BB29" s="55">
        <f t="shared" si="12"/>
        <v>0</v>
      </c>
      <c r="BC29" s="56"/>
      <c r="BD29" s="55">
        <f t="shared" si="13"/>
        <v>0</v>
      </c>
      <c r="BE29" s="56"/>
      <c r="BF29" s="55">
        <f t="shared" si="14"/>
        <v>0</v>
      </c>
      <c r="BG29" s="56"/>
      <c r="BH29" s="55">
        <f t="shared" si="15"/>
        <v>0</v>
      </c>
      <c r="BI29" s="56"/>
      <c r="BJ29" s="55">
        <f t="shared" si="16"/>
        <v>0</v>
      </c>
      <c r="BK29" s="24">
        <f t="shared" si="17"/>
        <v>7.554945054945055E-3</v>
      </c>
      <c r="BL29" s="56">
        <f t="shared" si="7"/>
        <v>4.7218406593406597E-8</v>
      </c>
      <c r="BM29" s="55"/>
    </row>
    <row r="30" spans="1:67" x14ac:dyDescent="0.35">
      <c r="A30" s="17">
        <v>248</v>
      </c>
      <c r="B30" s="25" t="s">
        <v>139</v>
      </c>
      <c r="C30" s="54">
        <v>2.5000000000000001E-4</v>
      </c>
      <c r="D30" s="55">
        <v>1.1900000000000001E-3</v>
      </c>
      <c r="E30" s="56"/>
      <c r="F30" s="55"/>
      <c r="G30" s="56"/>
      <c r="H30" s="55"/>
      <c r="I30" s="56"/>
      <c r="J30" s="55"/>
      <c r="K30" s="56"/>
      <c r="L30" s="55"/>
      <c r="M30" s="56"/>
      <c r="N30" s="55"/>
      <c r="O30" s="56"/>
      <c r="P30" s="55"/>
      <c r="Q30" s="56">
        <f t="shared" si="8"/>
        <v>5.3657280219780226E-8</v>
      </c>
      <c r="R30" s="51">
        <f t="shared" si="6"/>
        <v>0</v>
      </c>
      <c r="S30" s="56"/>
      <c r="T30" s="57"/>
      <c r="U30" s="53"/>
      <c r="V30" s="24">
        <f t="shared" si="3"/>
        <v>5.9500000000000004E-4</v>
      </c>
      <c r="W30" s="24">
        <f t="shared" si="2"/>
        <v>6.0266922958080371E-4</v>
      </c>
      <c r="X30" s="97">
        <f t="shared" si="4"/>
        <v>8.4145706961199162E-4</v>
      </c>
      <c r="Y30" s="18"/>
      <c r="AA30" s="25" t="s">
        <v>139</v>
      </c>
      <c r="AB30" s="56"/>
      <c r="AC30" s="55"/>
      <c r="AT30" s="25" t="s">
        <v>139</v>
      </c>
      <c r="AU30" s="54">
        <v>2.5000000000000001E-4</v>
      </c>
      <c r="AV30" s="55">
        <f t="shared" si="9"/>
        <v>6.8681318681318687E-2</v>
      </c>
      <c r="AW30" s="56"/>
      <c r="AX30" s="55">
        <f t="shared" si="10"/>
        <v>0</v>
      </c>
      <c r="AY30" s="56"/>
      <c r="AZ30" s="55">
        <f t="shared" si="11"/>
        <v>0</v>
      </c>
      <c r="BA30" s="56"/>
      <c r="BB30" s="55">
        <f t="shared" si="12"/>
        <v>0</v>
      </c>
      <c r="BC30" s="56"/>
      <c r="BD30" s="55">
        <f t="shared" si="13"/>
        <v>0</v>
      </c>
      <c r="BE30" s="56"/>
      <c r="BF30" s="55">
        <f t="shared" si="14"/>
        <v>0</v>
      </c>
      <c r="BG30" s="56"/>
      <c r="BH30" s="55">
        <f t="shared" si="15"/>
        <v>0</v>
      </c>
      <c r="BI30" s="56"/>
      <c r="BJ30" s="55">
        <f t="shared" si="16"/>
        <v>0</v>
      </c>
      <c r="BK30" s="24">
        <f t="shared" si="17"/>
        <v>8.5851648351648359E-3</v>
      </c>
      <c r="BL30" s="56">
        <f t="shared" si="7"/>
        <v>5.3657280219780226E-8</v>
      </c>
      <c r="BM30" s="55"/>
    </row>
    <row r="31" spans="1:67" x14ac:dyDescent="0.35">
      <c r="A31" s="17">
        <v>551</v>
      </c>
      <c r="B31" s="25" t="s">
        <v>141</v>
      </c>
      <c r="C31" s="54">
        <v>2.5999999999999998E-4</v>
      </c>
      <c r="D31" s="55">
        <v>1.2099999999999999E-3</v>
      </c>
      <c r="E31" s="56"/>
      <c r="F31" s="55"/>
      <c r="G31" s="56"/>
      <c r="H31" s="55"/>
      <c r="I31" s="56"/>
      <c r="J31" s="55"/>
      <c r="K31" s="56"/>
      <c r="L31" s="55"/>
      <c r="M31" s="56"/>
      <c r="N31" s="55"/>
      <c r="O31" s="56"/>
      <c r="P31" s="55"/>
      <c r="Q31" s="56">
        <f t="shared" si="8"/>
        <v>5.5803571428571427E-8</v>
      </c>
      <c r="R31" s="51">
        <f t="shared" si="6"/>
        <v>0</v>
      </c>
      <c r="S31" s="56"/>
      <c r="T31" s="57"/>
      <c r="U31" s="53"/>
      <c r="V31" s="24">
        <f t="shared" si="3"/>
        <v>6.0499999999999996E-4</v>
      </c>
      <c r="W31" s="24">
        <f t="shared" si="2"/>
        <v>6.1279812419560704E-4</v>
      </c>
      <c r="X31" s="97">
        <f t="shared" si="4"/>
        <v>8.5559920523572248E-4</v>
      </c>
      <c r="Y31" s="18"/>
      <c r="AA31" s="25" t="s">
        <v>141</v>
      </c>
      <c r="AB31" s="56"/>
      <c r="AC31" s="55"/>
      <c r="AT31" s="25" t="s">
        <v>141</v>
      </c>
      <c r="AU31" s="54">
        <v>2.5999999999999998E-4</v>
      </c>
      <c r="AV31" s="55">
        <f t="shared" si="9"/>
        <v>7.1428571428571425E-2</v>
      </c>
      <c r="AW31" s="56"/>
      <c r="AX31" s="55">
        <f t="shared" si="10"/>
        <v>0</v>
      </c>
      <c r="AY31" s="56"/>
      <c r="AZ31" s="55">
        <f t="shared" si="11"/>
        <v>0</v>
      </c>
      <c r="BA31" s="56"/>
      <c r="BB31" s="55">
        <f t="shared" si="12"/>
        <v>0</v>
      </c>
      <c r="BC31" s="56"/>
      <c r="BD31" s="55">
        <f t="shared" si="13"/>
        <v>0</v>
      </c>
      <c r="BE31" s="56"/>
      <c r="BF31" s="55">
        <f t="shared" si="14"/>
        <v>0</v>
      </c>
      <c r="BG31" s="56"/>
      <c r="BH31" s="55">
        <f t="shared" si="15"/>
        <v>0</v>
      </c>
      <c r="BI31" s="56"/>
      <c r="BJ31" s="55">
        <f t="shared" si="16"/>
        <v>0</v>
      </c>
      <c r="BK31" s="24">
        <f t="shared" si="17"/>
        <v>8.9285714285714281E-3</v>
      </c>
      <c r="BL31" s="56">
        <f t="shared" si="7"/>
        <v>5.5803571428571427E-8</v>
      </c>
      <c r="BM31" s="55"/>
    </row>
    <row r="32" spans="1:67" x14ac:dyDescent="0.35">
      <c r="A32" s="17">
        <v>118</v>
      </c>
      <c r="B32" s="25" t="s">
        <v>146</v>
      </c>
      <c r="C32" s="54">
        <v>0</v>
      </c>
      <c r="D32" s="55">
        <v>0</v>
      </c>
      <c r="E32" s="56">
        <v>1.0000000000000001E-5</v>
      </c>
      <c r="F32" s="55">
        <v>4.0000000000000003E-5</v>
      </c>
      <c r="G32" s="56">
        <v>0</v>
      </c>
      <c r="H32" s="55">
        <v>0</v>
      </c>
      <c r="I32" s="56">
        <v>0</v>
      </c>
      <c r="J32" s="55">
        <v>0</v>
      </c>
      <c r="K32" s="56">
        <v>0</v>
      </c>
      <c r="L32" s="55">
        <v>1.0000000000000001E-5</v>
      </c>
      <c r="M32" s="56"/>
      <c r="N32" s="55"/>
      <c r="O32" s="56"/>
      <c r="P32" s="55"/>
      <c r="Q32" s="56">
        <f t="shared" si="8"/>
        <v>6.0848738792107103E-8</v>
      </c>
      <c r="R32" s="51">
        <f t="shared" si="6"/>
        <v>4.1998239204022181E-7</v>
      </c>
      <c r="S32" s="56">
        <v>1.9999999999999999E-6</v>
      </c>
      <c r="T32" s="51">
        <f>S32*U32/$T$56</f>
        <v>1.2421946625599839E-5</v>
      </c>
      <c r="U32" s="52">
        <f>12.0107*8+1.00794*18</f>
        <v>114.22852</v>
      </c>
      <c r="V32" s="24">
        <f t="shared" si="3"/>
        <v>8.9774184310914392E-6</v>
      </c>
      <c r="W32" s="24">
        <f t="shared" si="2"/>
        <v>9.0931325201519065E-6</v>
      </c>
      <c r="X32" s="97">
        <f t="shared" si="4"/>
        <v>1.4664713040552899E-5</v>
      </c>
      <c r="Y32" s="18"/>
      <c r="AA32" s="25" t="s">
        <v>146</v>
      </c>
      <c r="AB32" s="56"/>
      <c r="AC32" s="55"/>
      <c r="AT32" s="25" t="s">
        <v>146</v>
      </c>
      <c r="AU32" s="54">
        <v>0</v>
      </c>
      <c r="AV32" s="55">
        <f t="shared" si="9"/>
        <v>0</v>
      </c>
      <c r="AW32" s="56">
        <v>1.0000000000000001E-5</v>
      </c>
      <c r="AX32" s="55">
        <f t="shared" si="10"/>
        <v>7.6335877862595436E-2</v>
      </c>
      <c r="AY32" s="56">
        <v>0</v>
      </c>
      <c r="AZ32" s="55">
        <f t="shared" si="11"/>
        <v>0</v>
      </c>
      <c r="BA32" s="56">
        <v>0</v>
      </c>
      <c r="BB32" s="55">
        <f t="shared" si="12"/>
        <v>0</v>
      </c>
      <c r="BC32" s="56">
        <v>0</v>
      </c>
      <c r="BD32" s="55">
        <f t="shared" si="13"/>
        <v>0</v>
      </c>
      <c r="BE32" s="56"/>
      <c r="BF32" s="55">
        <f t="shared" si="14"/>
        <v>0</v>
      </c>
      <c r="BG32" s="56"/>
      <c r="BH32" s="55">
        <f t="shared" si="15"/>
        <v>0</v>
      </c>
      <c r="BI32" s="56">
        <v>1.9999999999999999E-6</v>
      </c>
      <c r="BJ32" s="55">
        <f t="shared" si="16"/>
        <v>1.5505077913016514E-3</v>
      </c>
      <c r="BK32" s="24">
        <f t="shared" si="17"/>
        <v>9.7357982067371365E-3</v>
      </c>
      <c r="BL32" s="56">
        <f t="shared" si="7"/>
        <v>6.0848738792107103E-8</v>
      </c>
      <c r="BM32" s="55"/>
    </row>
    <row r="33" spans="1:65" x14ac:dyDescent="0.35">
      <c r="A33" s="17">
        <v>601</v>
      </c>
      <c r="B33" s="25" t="s">
        <v>140</v>
      </c>
      <c r="C33" s="54">
        <v>6.6E-4</v>
      </c>
      <c r="D33" s="55">
        <v>3.2399999999999998E-3</v>
      </c>
      <c r="E33" s="56">
        <v>8.2000000000000001E-5</v>
      </c>
      <c r="F33" s="55">
        <v>1E-4</v>
      </c>
      <c r="G33" s="56">
        <v>2.0799999999999998E-3</v>
      </c>
      <c r="H33" s="55">
        <v>9.3799999999999994E-3</v>
      </c>
      <c r="I33" s="56">
        <v>3.5860000000000002E-3</v>
      </c>
      <c r="J33" s="55">
        <v>1.5730000000000001E-2</v>
      </c>
      <c r="K33" s="56">
        <v>1.6799999999999999E-4</v>
      </c>
      <c r="L33" s="55">
        <v>7.9000000000000001E-4</v>
      </c>
      <c r="M33" s="56">
        <v>2.1359999999999999E-3</v>
      </c>
      <c r="N33" s="55">
        <v>9.6500000000000006E-3</v>
      </c>
      <c r="O33" s="56">
        <v>2.2590000000000002E-3</v>
      </c>
      <c r="P33" s="55">
        <v>1.014E-2</v>
      </c>
      <c r="Q33" s="56">
        <f t="shared" si="8"/>
        <v>3.9442502423216669E-6</v>
      </c>
      <c r="R33" s="51">
        <f t="shared" si="6"/>
        <v>2.0537733734408284E-5</v>
      </c>
      <c r="S33" s="56">
        <v>1.6799999999999999E-4</v>
      </c>
      <c r="T33" s="51">
        <f>S33*U33/$T$56</f>
        <v>7.8718625329642295E-4</v>
      </c>
      <c r="U33" s="52">
        <f>12.0107*6+1.00794*14</f>
        <v>86.175359999999998</v>
      </c>
      <c r="V33" s="24">
        <f t="shared" si="3"/>
        <v>5.5375248874478707E-3</v>
      </c>
      <c r="W33" s="24">
        <f t="shared" si="2"/>
        <v>5.6089006011810667E-3</v>
      </c>
      <c r="X33" s="97">
        <f t="shared" si="4"/>
        <v>5.7785546104102111E-3</v>
      </c>
      <c r="Y33" s="369"/>
      <c r="AA33" s="25" t="s">
        <v>140</v>
      </c>
      <c r="AB33" s="56"/>
      <c r="AC33" s="55"/>
      <c r="AT33" s="25" t="s">
        <v>140</v>
      </c>
      <c r="AU33" s="54">
        <v>6.6E-4</v>
      </c>
      <c r="AV33" s="55">
        <f t="shared" si="9"/>
        <v>0.18131868131868131</v>
      </c>
      <c r="AW33" s="56">
        <v>8.2000000000000001E-5</v>
      </c>
      <c r="AX33" s="55">
        <f t="shared" si="10"/>
        <v>0.62595419847328249</v>
      </c>
      <c r="AY33" s="56">
        <v>2.0799999999999998E-3</v>
      </c>
      <c r="AZ33" s="55">
        <f t="shared" si="11"/>
        <v>0.98159509202453987</v>
      </c>
      <c r="BA33" s="56">
        <v>3.5860000000000002E-3</v>
      </c>
      <c r="BB33" s="55">
        <f t="shared" si="12"/>
        <v>1</v>
      </c>
      <c r="BC33" s="56">
        <v>1.6799999999999999E-4</v>
      </c>
      <c r="BD33" s="55">
        <f t="shared" si="13"/>
        <v>0.12952968388589048</v>
      </c>
      <c r="BE33" s="56">
        <v>2.1359999999999999E-3</v>
      </c>
      <c r="BF33" s="55">
        <f t="shared" si="14"/>
        <v>1</v>
      </c>
      <c r="BG33" s="56">
        <v>2.2590000000000002E-3</v>
      </c>
      <c r="BH33" s="55">
        <f t="shared" si="15"/>
        <v>1</v>
      </c>
      <c r="BI33" s="56">
        <v>1.6799999999999999E-4</v>
      </c>
      <c r="BJ33" s="55">
        <f t="shared" si="16"/>
        <v>0.13024265446933872</v>
      </c>
      <c r="BK33" s="24">
        <f t="shared" si="17"/>
        <v>0.63108003877146668</v>
      </c>
      <c r="BL33" s="56">
        <f t="shared" si="7"/>
        <v>3.9442502423216669E-6</v>
      </c>
      <c r="BM33" s="55"/>
    </row>
    <row r="34" spans="1:65" x14ac:dyDescent="0.35">
      <c r="A34" s="17">
        <v>385</v>
      </c>
      <c r="B34" s="25" t="s">
        <v>142</v>
      </c>
      <c r="C34" s="54">
        <v>3.1E-4</v>
      </c>
      <c r="D34" s="55">
        <v>1.4400000000000001E-3</v>
      </c>
      <c r="E34" s="56">
        <v>0</v>
      </c>
      <c r="F34" s="55">
        <v>0</v>
      </c>
      <c r="G34" s="56">
        <v>0</v>
      </c>
      <c r="H34" s="55">
        <v>0</v>
      </c>
      <c r="I34" s="56">
        <v>0</v>
      </c>
      <c r="J34" s="55">
        <v>0</v>
      </c>
      <c r="K34" s="56">
        <v>2.4000000000000001E-5</v>
      </c>
      <c r="L34" s="55">
        <v>1.1E-4</v>
      </c>
      <c r="M34" s="56">
        <v>0</v>
      </c>
      <c r="N34" s="55">
        <v>0</v>
      </c>
      <c r="O34" s="56">
        <v>0</v>
      </c>
      <c r="P34" s="55">
        <v>0</v>
      </c>
      <c r="Q34" s="56">
        <f t="shared" si="8"/>
        <v>9.5527475949673589E-8</v>
      </c>
      <c r="R34" s="51">
        <f t="shared" si="6"/>
        <v>4.8577627250817231E-7</v>
      </c>
      <c r="S34" s="56">
        <v>2.4000000000000001E-5</v>
      </c>
      <c r="T34" s="51">
        <f>S34*U34/$T$56</f>
        <v>1.0982454139455582E-4</v>
      </c>
      <c r="U34" s="52">
        <v>84.159480000000002</v>
      </c>
      <c r="V34" s="24">
        <f t="shared" si="3"/>
        <v>1.8447892418522937E-4</v>
      </c>
      <c r="W34" s="24">
        <f t="shared" si="2"/>
        <v>1.8685675817244987E-4</v>
      </c>
      <c r="X34" s="97">
        <f t="shared" si="4"/>
        <v>4.7321630950526413E-4</v>
      </c>
      <c r="Y34" s="369"/>
      <c r="AA34" s="25" t="s">
        <v>142</v>
      </c>
      <c r="AB34" s="56"/>
      <c r="AC34" s="55"/>
      <c r="AT34" s="25" t="s">
        <v>142</v>
      </c>
      <c r="AU34" s="54">
        <v>3.1E-4</v>
      </c>
      <c r="AV34" s="55">
        <f t="shared" si="9"/>
        <v>8.5164835164835168E-2</v>
      </c>
      <c r="AW34" s="56">
        <v>0</v>
      </c>
      <c r="AX34" s="55">
        <f t="shared" si="10"/>
        <v>0</v>
      </c>
      <c r="AY34" s="56">
        <v>0</v>
      </c>
      <c r="AZ34" s="55">
        <f t="shared" si="11"/>
        <v>0</v>
      </c>
      <c r="BA34" s="56">
        <v>0</v>
      </c>
      <c r="BB34" s="55">
        <f t="shared" si="12"/>
        <v>0</v>
      </c>
      <c r="BC34" s="56">
        <v>2.4000000000000001E-5</v>
      </c>
      <c r="BD34" s="55">
        <f t="shared" si="13"/>
        <v>1.8504240555127213E-2</v>
      </c>
      <c r="BE34" s="56">
        <v>0</v>
      </c>
      <c r="BF34" s="55">
        <f t="shared" si="14"/>
        <v>0</v>
      </c>
      <c r="BG34" s="56">
        <v>0</v>
      </c>
      <c r="BH34" s="55">
        <f t="shared" si="15"/>
        <v>0</v>
      </c>
      <c r="BI34" s="56">
        <v>2.4000000000000001E-5</v>
      </c>
      <c r="BJ34" s="55">
        <f t="shared" si="16"/>
        <v>1.8606093495619817E-2</v>
      </c>
      <c r="BK34" s="24">
        <f t="shared" si="17"/>
        <v>1.5284396151947774E-2</v>
      </c>
      <c r="BL34" s="56">
        <f t="shared" si="7"/>
        <v>9.5527475949673589E-8</v>
      </c>
      <c r="BM34" s="55"/>
    </row>
    <row r="35" spans="1:65" x14ac:dyDescent="0.35">
      <c r="A35" s="17">
        <v>2127</v>
      </c>
      <c r="B35" s="25" t="s">
        <v>143</v>
      </c>
      <c r="C35" s="54"/>
      <c r="D35" s="55"/>
      <c r="E35" s="56"/>
      <c r="F35" s="55"/>
      <c r="G35" s="56"/>
      <c r="H35" s="55"/>
      <c r="I35" s="56"/>
      <c r="J35" s="55"/>
      <c r="K35" s="56">
        <v>4.5399999999999998E-4</v>
      </c>
      <c r="L35" s="55">
        <v>2.1299999999999999E-3</v>
      </c>
      <c r="M35" s="56">
        <v>0</v>
      </c>
      <c r="N35" s="55">
        <v>0</v>
      </c>
      <c r="O35" s="56">
        <v>0</v>
      </c>
      <c r="P35" s="55">
        <v>0</v>
      </c>
      <c r="Q35" s="56">
        <f t="shared" si="8"/>
        <v>5.4844048369268079E-7</v>
      </c>
      <c r="R35" s="51">
        <f t="shared" si="6"/>
        <v>2.8557327581275137E-6</v>
      </c>
      <c r="S35" s="56">
        <v>4.5399999999999998E-4</v>
      </c>
      <c r="T35" s="51">
        <f>S35*U35/$T$56</f>
        <v>2.1272771368843809E-3</v>
      </c>
      <c r="U35" s="52">
        <f>12.0107*6+1.00794*14</f>
        <v>86.175359999999998</v>
      </c>
      <c r="V35" s="24">
        <f t="shared" si="3"/>
        <v>8.5202657392850181E-4</v>
      </c>
      <c r="W35" s="24">
        <f t="shared" si="2"/>
        <v>8.630087376333812E-4</v>
      </c>
      <c r="X35" s="97">
        <f t="shared" si="4"/>
        <v>1.1653829584002517E-3</v>
      </c>
      <c r="Y35" s="369"/>
      <c r="AA35" s="25" t="s">
        <v>143</v>
      </c>
      <c r="AB35" s="56"/>
      <c r="AC35" s="55"/>
      <c r="AT35" s="25" t="s">
        <v>143</v>
      </c>
      <c r="AU35" s="54"/>
      <c r="AV35" s="55">
        <f t="shared" si="9"/>
        <v>0</v>
      </c>
      <c r="AW35" s="56"/>
      <c r="AX35" s="55">
        <f t="shared" si="10"/>
        <v>0</v>
      </c>
      <c r="AY35" s="56"/>
      <c r="AZ35" s="55">
        <f t="shared" si="11"/>
        <v>0</v>
      </c>
      <c r="BA35" s="56"/>
      <c r="BB35" s="55">
        <f t="shared" si="12"/>
        <v>0</v>
      </c>
      <c r="BC35" s="56">
        <v>4.5399999999999998E-4</v>
      </c>
      <c r="BD35" s="55">
        <f t="shared" si="13"/>
        <v>0.35003855050115645</v>
      </c>
      <c r="BE35" s="56">
        <v>0</v>
      </c>
      <c r="BF35" s="55">
        <f t="shared" si="14"/>
        <v>0</v>
      </c>
      <c r="BG35" s="56">
        <v>0</v>
      </c>
      <c r="BH35" s="55">
        <f t="shared" si="15"/>
        <v>0</v>
      </c>
      <c r="BI35" s="56">
        <v>4.5399999999999998E-4</v>
      </c>
      <c r="BJ35" s="55">
        <f t="shared" si="16"/>
        <v>0.35196526862547484</v>
      </c>
      <c r="BK35" s="24">
        <f t="shared" si="17"/>
        <v>8.7750477390828918E-2</v>
      </c>
      <c r="BL35" s="56">
        <f t="shared" si="7"/>
        <v>5.4844048369268079E-7</v>
      </c>
      <c r="BM35" s="55"/>
    </row>
    <row r="36" spans="1:65" x14ac:dyDescent="0.35">
      <c r="A36" s="17">
        <v>194</v>
      </c>
      <c r="B36" s="25" t="s">
        <v>144</v>
      </c>
      <c r="C36" s="54">
        <v>6.9999999999999994E-5</v>
      </c>
      <c r="D36" s="55">
        <v>3.8999999999999999E-4</v>
      </c>
      <c r="E36" s="56"/>
      <c r="F36" s="55"/>
      <c r="G36" s="56"/>
      <c r="H36" s="55"/>
      <c r="I36" s="56"/>
      <c r="J36" s="55"/>
      <c r="K36" s="56"/>
      <c r="L36" s="55"/>
      <c r="M36" s="56"/>
      <c r="N36" s="55"/>
      <c r="O36" s="56"/>
      <c r="P36" s="55"/>
      <c r="Q36" s="56">
        <f t="shared" si="8"/>
        <v>1.5024038461538461E-8</v>
      </c>
      <c r="R36" s="51">
        <f t="shared" si="6"/>
        <v>0</v>
      </c>
      <c r="S36" s="56"/>
      <c r="T36" s="57"/>
      <c r="U36" s="53"/>
      <c r="V36" s="24">
        <f t="shared" si="3"/>
        <v>1.95E-4</v>
      </c>
      <c r="W36" s="24">
        <f t="shared" si="2"/>
        <v>1.9751344498866676E-4</v>
      </c>
      <c r="X36" s="97">
        <f t="shared" si="4"/>
        <v>2.7577164466275353E-4</v>
      </c>
      <c r="Y36" s="18"/>
      <c r="AA36" s="25" t="s">
        <v>144</v>
      </c>
      <c r="AB36" s="56"/>
      <c r="AC36" s="55"/>
      <c r="AT36" s="25" t="s">
        <v>144</v>
      </c>
      <c r="AU36" s="54">
        <v>6.9999999999999994E-5</v>
      </c>
      <c r="AV36" s="55">
        <f t="shared" si="9"/>
        <v>1.9230769230769228E-2</v>
      </c>
      <c r="AW36" s="56"/>
      <c r="AX36" s="55">
        <f t="shared" si="10"/>
        <v>0</v>
      </c>
      <c r="AY36" s="56"/>
      <c r="AZ36" s="55">
        <f t="shared" si="11"/>
        <v>0</v>
      </c>
      <c r="BA36" s="56"/>
      <c r="BB36" s="55">
        <f t="shared" si="12"/>
        <v>0</v>
      </c>
      <c r="BC36" s="56"/>
      <c r="BD36" s="55">
        <f t="shared" si="13"/>
        <v>0</v>
      </c>
      <c r="BE36" s="56"/>
      <c r="BF36" s="55">
        <f t="shared" si="14"/>
        <v>0</v>
      </c>
      <c r="BG36" s="56"/>
      <c r="BH36" s="55">
        <f t="shared" si="15"/>
        <v>0</v>
      </c>
      <c r="BI36" s="56"/>
      <c r="BJ36" s="55">
        <f t="shared" si="16"/>
        <v>0</v>
      </c>
      <c r="BK36" s="24">
        <f t="shared" si="17"/>
        <v>2.4038461538461535E-3</v>
      </c>
      <c r="BL36" s="56">
        <f t="shared" si="7"/>
        <v>1.5024038461538461E-8</v>
      </c>
      <c r="BM36" s="55"/>
    </row>
    <row r="37" spans="1:65" x14ac:dyDescent="0.35">
      <c r="A37" s="17">
        <v>245</v>
      </c>
      <c r="B37" s="25" t="s">
        <v>145</v>
      </c>
      <c r="C37" s="54">
        <v>8.0000000000000007E-5</v>
      </c>
      <c r="D37" s="55">
        <v>4.4000000000000002E-4</v>
      </c>
      <c r="E37" s="56"/>
      <c r="F37" s="55"/>
      <c r="G37" s="56"/>
      <c r="H37" s="55"/>
      <c r="I37" s="56"/>
      <c r="J37" s="55"/>
      <c r="K37" s="56"/>
      <c r="L37" s="55"/>
      <c r="M37" s="56"/>
      <c r="N37" s="55"/>
      <c r="O37" s="56"/>
      <c r="P37" s="55"/>
      <c r="Q37" s="56">
        <f t="shared" si="8"/>
        <v>1.7170329670329672E-8</v>
      </c>
      <c r="R37" s="51">
        <f t="shared" si="6"/>
        <v>0</v>
      </c>
      <c r="S37" s="56"/>
      <c r="T37" s="57"/>
      <c r="U37" s="53"/>
      <c r="V37" s="24">
        <f t="shared" si="3"/>
        <v>2.2000000000000001E-4</v>
      </c>
      <c r="W37" s="24">
        <f t="shared" si="2"/>
        <v>2.2283568152567531E-4</v>
      </c>
      <c r="X37" s="97">
        <f t="shared" si="4"/>
        <v>3.111269837220809E-4</v>
      </c>
      <c r="Y37" s="18"/>
      <c r="AA37" s="25" t="s">
        <v>145</v>
      </c>
      <c r="AB37" s="56"/>
      <c r="AC37" s="55"/>
      <c r="AT37" s="25" t="s">
        <v>145</v>
      </c>
      <c r="AU37" s="54">
        <v>8.0000000000000007E-5</v>
      </c>
      <c r="AV37" s="55">
        <f t="shared" si="9"/>
        <v>2.197802197802198E-2</v>
      </c>
      <c r="AW37" s="56"/>
      <c r="AX37" s="55">
        <f t="shared" si="10"/>
        <v>0</v>
      </c>
      <c r="AY37" s="56"/>
      <c r="AZ37" s="55">
        <f t="shared" si="11"/>
        <v>0</v>
      </c>
      <c r="BA37" s="56"/>
      <c r="BB37" s="55">
        <f t="shared" si="12"/>
        <v>0</v>
      </c>
      <c r="BC37" s="56"/>
      <c r="BD37" s="55">
        <f t="shared" si="13"/>
        <v>0</v>
      </c>
      <c r="BE37" s="56"/>
      <c r="BF37" s="55">
        <f t="shared" si="14"/>
        <v>0</v>
      </c>
      <c r="BG37" s="56"/>
      <c r="BH37" s="55">
        <f t="shared" si="15"/>
        <v>0</v>
      </c>
      <c r="BI37" s="56"/>
      <c r="BJ37" s="55">
        <f t="shared" si="16"/>
        <v>0</v>
      </c>
      <c r="BK37" s="24">
        <f t="shared" si="17"/>
        <v>2.7472527472527475E-3</v>
      </c>
      <c r="BL37" s="56">
        <f t="shared" si="7"/>
        <v>1.7170329670329672E-8</v>
      </c>
      <c r="BM37" s="55"/>
    </row>
    <row r="38" spans="1:65" x14ac:dyDescent="0.35">
      <c r="A38" s="17">
        <v>633</v>
      </c>
      <c r="B38" s="25" t="s">
        <v>147</v>
      </c>
      <c r="C38" s="54">
        <v>2.2000000000000001E-4</v>
      </c>
      <c r="D38" s="55">
        <v>1.2099999999999999E-3</v>
      </c>
      <c r="E38" s="56"/>
      <c r="F38" s="55"/>
      <c r="G38" s="56"/>
      <c r="H38" s="55"/>
      <c r="I38" s="56"/>
      <c r="J38" s="55"/>
      <c r="K38" s="56"/>
      <c r="L38" s="55"/>
      <c r="M38" s="56"/>
      <c r="N38" s="55"/>
      <c r="O38" s="56"/>
      <c r="P38" s="55"/>
      <c r="Q38" s="56">
        <f t="shared" si="8"/>
        <v>2.2831287128059165E-7</v>
      </c>
      <c r="R38" s="51">
        <f t="shared" si="6"/>
        <v>1.3682829240373857E-6</v>
      </c>
      <c r="S38" s="56">
        <v>2.99E-4</v>
      </c>
      <c r="T38" s="51">
        <f>S38*U38/$T$56</f>
        <v>1.6124893727242039E-3</v>
      </c>
      <c r="U38" s="53">
        <v>99.183758019198805</v>
      </c>
      <c r="V38" s="24">
        <f t="shared" si="3"/>
        <v>9.4128588521608049E-4</v>
      </c>
      <c r="W38" s="24">
        <f t="shared" si="2"/>
        <v>9.5341855337556308E-4</v>
      </c>
      <c r="X38" s="97">
        <f t="shared" si="4"/>
        <v>8.3850059517736675E-4</v>
      </c>
      <c r="Y38" s="18"/>
      <c r="AA38" s="25" t="s">
        <v>147</v>
      </c>
      <c r="AB38" s="56"/>
      <c r="AC38" s="55"/>
      <c r="AT38" s="25" t="s">
        <v>147</v>
      </c>
      <c r="AU38" s="54">
        <v>2.2000000000000001E-4</v>
      </c>
      <c r="AV38" s="55">
        <f t="shared" si="9"/>
        <v>6.043956043956044E-2</v>
      </c>
      <c r="AW38" s="56"/>
      <c r="AX38" s="55">
        <f t="shared" si="10"/>
        <v>0</v>
      </c>
      <c r="AY38" s="56"/>
      <c r="AZ38" s="55">
        <f t="shared" si="11"/>
        <v>0</v>
      </c>
      <c r="BA38" s="56"/>
      <c r="BB38" s="55">
        <f t="shared" si="12"/>
        <v>0</v>
      </c>
      <c r="BC38" s="56"/>
      <c r="BD38" s="55">
        <f t="shared" si="13"/>
        <v>0</v>
      </c>
      <c r="BE38" s="56"/>
      <c r="BF38" s="55">
        <f t="shared" si="14"/>
        <v>0</v>
      </c>
      <c r="BG38" s="56"/>
      <c r="BH38" s="55">
        <f t="shared" si="15"/>
        <v>0</v>
      </c>
      <c r="BI38" s="56">
        <v>2.99E-4</v>
      </c>
      <c r="BJ38" s="55">
        <f t="shared" si="16"/>
        <v>0.23180091479959689</v>
      </c>
      <c r="BK38" s="24">
        <f t="shared" si="17"/>
        <v>3.6530059404894663E-2</v>
      </c>
      <c r="BL38" s="56">
        <f t="shared" si="7"/>
        <v>2.2831287128059165E-7</v>
      </c>
      <c r="BM38" s="55"/>
    </row>
    <row r="39" spans="1:65" x14ac:dyDescent="0.35">
      <c r="A39" s="17">
        <v>600</v>
      </c>
      <c r="B39" s="25" t="s">
        <v>148</v>
      </c>
      <c r="C39" s="54">
        <v>1.7000000000000001E-4</v>
      </c>
      <c r="D39" s="55">
        <v>9.3999999999999997E-4</v>
      </c>
      <c r="E39" s="56"/>
      <c r="F39" s="55"/>
      <c r="G39" s="56">
        <v>0</v>
      </c>
      <c r="H39" s="55">
        <v>0</v>
      </c>
      <c r="I39" s="56">
        <v>0</v>
      </c>
      <c r="J39" s="55">
        <v>0</v>
      </c>
      <c r="K39" s="56">
        <v>3.6099999999999999E-4</v>
      </c>
      <c r="L39" s="55">
        <v>1.97E-3</v>
      </c>
      <c r="M39" s="56">
        <v>0</v>
      </c>
      <c r="N39" s="55">
        <v>0</v>
      </c>
      <c r="O39" s="56">
        <v>0</v>
      </c>
      <c r="P39" s="55">
        <v>0</v>
      </c>
      <c r="Q39" s="56">
        <f t="shared" si="8"/>
        <v>2.9148723170600502E-7</v>
      </c>
      <c r="R39" s="51">
        <f t="shared" si="6"/>
        <v>1.764820815341295E-6</v>
      </c>
      <c r="S39" s="56">
        <v>6.2000000000000003E-5</v>
      </c>
      <c r="T39" s="51">
        <f>S39*U39/$T$56</f>
        <v>3.3779477895982799E-4</v>
      </c>
      <c r="U39" s="52">
        <f>12.0107*7+1.00794*16</f>
        <v>100.20194000000001</v>
      </c>
      <c r="V39" s="24">
        <f t="shared" si="3"/>
        <v>4.0619494997189614E-4</v>
      </c>
      <c r="W39" s="24">
        <f t="shared" si="2"/>
        <v>4.1143058413306848E-4</v>
      </c>
      <c r="X39" s="97">
        <f t="shared" si="4"/>
        <v>7.1300708554119672E-4</v>
      </c>
      <c r="Y39" s="18"/>
      <c r="AA39" s="25" t="s">
        <v>148</v>
      </c>
      <c r="AB39" s="56"/>
      <c r="AC39" s="55"/>
      <c r="AT39" s="25" t="s">
        <v>148</v>
      </c>
      <c r="AU39" s="54">
        <v>1.7000000000000001E-4</v>
      </c>
      <c r="AV39" s="55">
        <f t="shared" si="9"/>
        <v>4.6703296703296704E-2</v>
      </c>
      <c r="AW39" s="56"/>
      <c r="AX39" s="55">
        <f t="shared" si="10"/>
        <v>0</v>
      </c>
      <c r="AY39" s="56">
        <v>0</v>
      </c>
      <c r="AZ39" s="55">
        <f t="shared" si="11"/>
        <v>0</v>
      </c>
      <c r="BA39" s="56">
        <v>0</v>
      </c>
      <c r="BB39" s="55">
        <f t="shared" si="12"/>
        <v>0</v>
      </c>
      <c r="BC39" s="56">
        <v>3.6099999999999999E-4</v>
      </c>
      <c r="BD39" s="55">
        <f t="shared" si="13"/>
        <v>0.27833461835003848</v>
      </c>
      <c r="BE39" s="56">
        <v>0</v>
      </c>
      <c r="BF39" s="55">
        <f t="shared" si="14"/>
        <v>0</v>
      </c>
      <c r="BG39" s="56">
        <v>0</v>
      </c>
      <c r="BH39" s="55">
        <f t="shared" si="15"/>
        <v>0</v>
      </c>
      <c r="BI39" s="56">
        <v>6.2000000000000003E-5</v>
      </c>
      <c r="BJ39" s="55">
        <f t="shared" si="16"/>
        <v>4.8065741530351196E-2</v>
      </c>
      <c r="BK39" s="24">
        <f t="shared" si="17"/>
        <v>4.6637957072960798E-2</v>
      </c>
      <c r="BL39" s="56">
        <f t="shared" si="7"/>
        <v>2.9148723170600502E-7</v>
      </c>
      <c r="BM39" s="55"/>
    </row>
    <row r="40" spans="1:65" x14ac:dyDescent="0.35">
      <c r="A40" s="17">
        <v>550</v>
      </c>
      <c r="B40" s="25" t="s">
        <v>149</v>
      </c>
      <c r="C40" s="54">
        <v>2.1000000000000001E-4</v>
      </c>
      <c r="D40" s="55">
        <v>1.14E-3</v>
      </c>
      <c r="E40" s="56"/>
      <c r="F40" s="55"/>
      <c r="G40" s="56">
        <v>0</v>
      </c>
      <c r="H40" s="55">
        <v>0</v>
      </c>
      <c r="I40" s="56">
        <v>0</v>
      </c>
      <c r="J40" s="55">
        <v>0</v>
      </c>
      <c r="K40" s="56">
        <v>5.0000000000000002E-5</v>
      </c>
      <c r="L40" s="55">
        <v>2.5000000000000001E-4</v>
      </c>
      <c r="M40" s="56">
        <v>0</v>
      </c>
      <c r="N40" s="55">
        <v>0</v>
      </c>
      <c r="O40" s="56">
        <v>0</v>
      </c>
      <c r="P40" s="55">
        <v>0</v>
      </c>
      <c r="Q40" s="56">
        <f t="shared" si="8"/>
        <v>1.0365604839407149E-7</v>
      </c>
      <c r="R40" s="51">
        <f t="shared" si="6"/>
        <v>6.1496363250206823E-7</v>
      </c>
      <c r="S40" s="56">
        <v>4.6999999999999997E-5</v>
      </c>
      <c r="T40" s="51">
        <f>S40*U40/$T$56</f>
        <v>2.5091857026950597E-4</v>
      </c>
      <c r="U40" s="53">
        <v>98.186059999999998</v>
      </c>
      <c r="V40" s="24">
        <f t="shared" si="3"/>
        <v>2.05191691737751E-4</v>
      </c>
      <c r="W40" s="24">
        <f t="shared" si="2"/>
        <v>2.0783650214449101E-4</v>
      </c>
      <c r="X40" s="97">
        <f t="shared" si="4"/>
        <v>3.9428623834192203E-4</v>
      </c>
      <c r="Y40" s="18"/>
      <c r="AA40" s="25" t="s">
        <v>149</v>
      </c>
      <c r="AB40" s="56"/>
      <c r="AC40" s="55"/>
      <c r="AT40" s="25" t="s">
        <v>149</v>
      </c>
      <c r="AU40" s="54">
        <v>2.1000000000000001E-4</v>
      </c>
      <c r="AV40" s="55">
        <f t="shared" si="9"/>
        <v>5.7692307692307696E-2</v>
      </c>
      <c r="AW40" s="56"/>
      <c r="AX40" s="55">
        <f t="shared" si="10"/>
        <v>0</v>
      </c>
      <c r="AY40" s="56">
        <v>0</v>
      </c>
      <c r="AZ40" s="55">
        <f t="shared" si="11"/>
        <v>0</v>
      </c>
      <c r="BA40" s="56">
        <v>0</v>
      </c>
      <c r="BB40" s="55">
        <f t="shared" si="12"/>
        <v>0</v>
      </c>
      <c r="BC40" s="56">
        <v>5.0000000000000002E-5</v>
      </c>
      <c r="BD40" s="55">
        <f t="shared" si="13"/>
        <v>3.8550501156515031E-2</v>
      </c>
      <c r="BE40" s="56">
        <v>0</v>
      </c>
      <c r="BF40" s="55">
        <f t="shared" si="14"/>
        <v>0</v>
      </c>
      <c r="BG40" s="56">
        <v>0</v>
      </c>
      <c r="BH40" s="55">
        <f t="shared" si="15"/>
        <v>0</v>
      </c>
      <c r="BI40" s="56">
        <v>4.6999999999999997E-5</v>
      </c>
      <c r="BJ40" s="55">
        <f t="shared" si="16"/>
        <v>3.6436933095588805E-2</v>
      </c>
      <c r="BK40" s="24">
        <f t="shared" si="17"/>
        <v>1.6584967743051439E-2</v>
      </c>
      <c r="BL40" s="56">
        <f t="shared" si="7"/>
        <v>1.0365604839407149E-7</v>
      </c>
      <c r="BM40" s="55"/>
    </row>
    <row r="41" spans="1:65" x14ac:dyDescent="0.35">
      <c r="A41" s="17">
        <v>634</v>
      </c>
      <c r="B41" s="25" t="s">
        <v>150</v>
      </c>
      <c r="C41" s="54">
        <v>2.5000000000000001E-4</v>
      </c>
      <c r="D41" s="55">
        <v>1.5200000000000001E-3</v>
      </c>
      <c r="E41" s="56"/>
      <c r="F41" s="55"/>
      <c r="G41" s="56"/>
      <c r="H41" s="55"/>
      <c r="I41" s="56"/>
      <c r="J41" s="55"/>
      <c r="K41" s="56"/>
      <c r="L41" s="55"/>
      <c r="M41" s="56"/>
      <c r="N41" s="55"/>
      <c r="O41" s="56"/>
      <c r="P41" s="55"/>
      <c r="Q41" s="56">
        <f t="shared" si="8"/>
        <v>1.6994536456740408E-7</v>
      </c>
      <c r="R41" s="51">
        <f t="shared" si="6"/>
        <v>1.1625328391796748E-6</v>
      </c>
      <c r="S41" s="56">
        <v>1.92E-4</v>
      </c>
      <c r="T41" s="51">
        <f>S41*U41/$T$56</f>
        <v>1.1818906490372553E-3</v>
      </c>
      <c r="U41" s="53">
        <v>113.211606869465</v>
      </c>
      <c r="V41" s="24">
        <f t="shared" si="3"/>
        <v>9.0101772729214507E-4</v>
      </c>
      <c r="W41" s="24">
        <f t="shared" si="2"/>
        <v>9.1263136058118276E-4</v>
      </c>
      <c r="X41" s="97">
        <f t="shared" si="4"/>
        <v>7.974233577843705E-4</v>
      </c>
      <c r="Y41" s="18"/>
      <c r="AA41" s="25" t="s">
        <v>150</v>
      </c>
      <c r="AB41" s="56"/>
      <c r="AC41" s="55"/>
      <c r="AT41" s="25" t="s">
        <v>150</v>
      </c>
      <c r="AU41" s="54">
        <v>2.5000000000000001E-4</v>
      </c>
      <c r="AV41" s="55">
        <f t="shared" si="9"/>
        <v>6.8681318681318687E-2</v>
      </c>
      <c r="AW41" s="56"/>
      <c r="AX41" s="55">
        <f t="shared" si="10"/>
        <v>0</v>
      </c>
      <c r="AY41" s="56"/>
      <c r="AZ41" s="55">
        <f t="shared" si="11"/>
        <v>0</v>
      </c>
      <c r="BA41" s="56"/>
      <c r="BB41" s="55">
        <f t="shared" si="12"/>
        <v>0</v>
      </c>
      <c r="BC41" s="56"/>
      <c r="BD41" s="55">
        <f t="shared" si="13"/>
        <v>0</v>
      </c>
      <c r="BE41" s="56"/>
      <c r="BF41" s="55">
        <f t="shared" si="14"/>
        <v>0</v>
      </c>
      <c r="BG41" s="56"/>
      <c r="BH41" s="55">
        <f t="shared" si="15"/>
        <v>0</v>
      </c>
      <c r="BI41" s="56">
        <v>1.92E-4</v>
      </c>
      <c r="BJ41" s="55">
        <f t="shared" si="16"/>
        <v>0.14884874796495853</v>
      </c>
      <c r="BK41" s="24">
        <f t="shared" si="17"/>
        <v>2.7191258330784653E-2</v>
      </c>
      <c r="BL41" s="56">
        <f t="shared" si="7"/>
        <v>1.6994536456740408E-7</v>
      </c>
      <c r="BM41" s="55"/>
    </row>
    <row r="42" spans="1:65" x14ac:dyDescent="0.35">
      <c r="A42" s="17">
        <v>604</v>
      </c>
      <c r="B42" s="25" t="s">
        <v>151</v>
      </c>
      <c r="C42" s="54">
        <v>1.1E-4</v>
      </c>
      <c r="D42" s="55">
        <v>6.8999999999999997E-4</v>
      </c>
      <c r="E42" s="56"/>
      <c r="F42" s="55"/>
      <c r="G42" s="56"/>
      <c r="H42" s="55"/>
      <c r="I42" s="56"/>
      <c r="J42" s="55"/>
      <c r="K42" s="56"/>
      <c r="L42" s="55"/>
      <c r="M42" s="56"/>
      <c r="N42" s="55"/>
      <c r="O42" s="56"/>
      <c r="P42" s="55"/>
      <c r="Q42" s="56">
        <f t="shared" si="8"/>
        <v>2.3609203296703298E-8</v>
      </c>
      <c r="R42" s="51">
        <f t="shared" si="6"/>
        <v>0</v>
      </c>
      <c r="S42" s="56"/>
      <c r="T42" s="57"/>
      <c r="U42" s="53"/>
      <c r="V42" s="24">
        <f t="shared" si="3"/>
        <v>3.4499999999999998E-4</v>
      </c>
      <c r="W42" s="24">
        <f t="shared" si="2"/>
        <v>3.4944686421071807E-4</v>
      </c>
      <c r="X42" s="97">
        <f t="shared" si="4"/>
        <v>4.8790367901871775E-4</v>
      </c>
      <c r="Y42" s="18"/>
      <c r="AA42" s="25" t="s">
        <v>151</v>
      </c>
      <c r="AB42" s="56"/>
      <c r="AC42" s="55"/>
      <c r="AT42" s="25" t="s">
        <v>151</v>
      </c>
      <c r="AU42" s="54">
        <v>1.1E-4</v>
      </c>
      <c r="AV42" s="55">
        <f t="shared" si="9"/>
        <v>3.021978021978022E-2</v>
      </c>
      <c r="AW42" s="56"/>
      <c r="AX42" s="55">
        <f t="shared" si="10"/>
        <v>0</v>
      </c>
      <c r="AY42" s="56"/>
      <c r="AZ42" s="55">
        <f t="shared" si="11"/>
        <v>0</v>
      </c>
      <c r="BA42" s="56"/>
      <c r="BB42" s="55">
        <f t="shared" si="12"/>
        <v>0</v>
      </c>
      <c r="BC42" s="56"/>
      <c r="BD42" s="55">
        <f t="shared" si="13"/>
        <v>0</v>
      </c>
      <c r="BE42" s="56"/>
      <c r="BF42" s="55">
        <f t="shared" si="14"/>
        <v>0</v>
      </c>
      <c r="BG42" s="56"/>
      <c r="BH42" s="55">
        <f t="shared" si="15"/>
        <v>0</v>
      </c>
      <c r="BI42" s="56"/>
      <c r="BJ42" s="55">
        <f t="shared" si="16"/>
        <v>0</v>
      </c>
      <c r="BK42" s="24">
        <f t="shared" si="17"/>
        <v>3.7774725274725275E-3</v>
      </c>
      <c r="BL42" s="56">
        <f t="shared" si="7"/>
        <v>2.3609203296703298E-8</v>
      </c>
      <c r="BM42" s="55"/>
    </row>
    <row r="43" spans="1:65" x14ac:dyDescent="0.35">
      <c r="A43" s="17">
        <v>302</v>
      </c>
      <c r="B43" s="25" t="s">
        <v>152</v>
      </c>
      <c r="C43" s="54">
        <v>1.3999999999999999E-4</v>
      </c>
      <c r="D43" s="55">
        <v>5.9999999999999995E-4</v>
      </c>
      <c r="E43" s="56">
        <v>1.0000000000000001E-5</v>
      </c>
      <c r="F43" s="55">
        <v>4.0000000000000003E-5</v>
      </c>
      <c r="G43" s="56">
        <v>1.0000000000000001E-5</v>
      </c>
      <c r="H43" s="55">
        <v>4.0000000000000003E-5</v>
      </c>
      <c r="I43" s="56">
        <v>0</v>
      </c>
      <c r="J43" s="55">
        <v>0</v>
      </c>
      <c r="K43" s="56">
        <v>1.0000000000000001E-5</v>
      </c>
      <c r="L43" s="55">
        <v>3.0000000000000001E-5</v>
      </c>
      <c r="M43" s="56">
        <v>0</v>
      </c>
      <c r="N43" s="55">
        <v>0</v>
      </c>
      <c r="O43" s="56">
        <v>0</v>
      </c>
      <c r="P43" s="55">
        <v>0</v>
      </c>
      <c r="Q43" s="56">
        <f t="shared" si="8"/>
        <v>1.0424121476081126E-7</v>
      </c>
      <c r="R43" s="51">
        <f t="shared" si="6"/>
        <v>4.9199567349408913E-7</v>
      </c>
      <c r="S43" s="56">
        <v>7.9999999999999996E-6</v>
      </c>
      <c r="T43" s="51">
        <f>S43*U43/$T$56</f>
        <v>3.3977542817061607E-5</v>
      </c>
      <c r="U43" s="52">
        <f>12.0107*6+1.00794*6</f>
        <v>78.111840000000001</v>
      </c>
      <c r="V43" s="24">
        <f t="shared" si="3"/>
        <v>8.2718837610061731E-5</v>
      </c>
      <c r="W43" s="24">
        <f t="shared" si="2"/>
        <v>8.3785038881135316E-5</v>
      </c>
      <c r="X43" s="97">
        <f t="shared" si="4"/>
        <v>1.948310359695004E-4</v>
      </c>
      <c r="Y43" s="18"/>
      <c r="AA43" s="25" t="s">
        <v>152</v>
      </c>
      <c r="AB43" s="56"/>
      <c r="AC43" s="55"/>
      <c r="AT43" s="25" t="s">
        <v>152</v>
      </c>
      <c r="AU43" s="54">
        <v>1.3999999999999999E-4</v>
      </c>
      <c r="AV43" s="55">
        <f t="shared" si="9"/>
        <v>3.8461538461538457E-2</v>
      </c>
      <c r="AW43" s="56">
        <v>1.0000000000000001E-5</v>
      </c>
      <c r="AX43" s="55">
        <f t="shared" si="10"/>
        <v>7.6335877862595436E-2</v>
      </c>
      <c r="AY43" s="56">
        <v>1.0000000000000001E-5</v>
      </c>
      <c r="AZ43" s="55">
        <f t="shared" si="11"/>
        <v>4.7192071731949042E-3</v>
      </c>
      <c r="BA43" s="56">
        <v>0</v>
      </c>
      <c r="BB43" s="55">
        <f t="shared" si="12"/>
        <v>0</v>
      </c>
      <c r="BC43" s="56">
        <v>1.0000000000000001E-5</v>
      </c>
      <c r="BD43" s="55">
        <f t="shared" si="13"/>
        <v>7.7101002313030064E-3</v>
      </c>
      <c r="BE43" s="56">
        <v>0</v>
      </c>
      <c r="BF43" s="55">
        <f t="shared" si="14"/>
        <v>0</v>
      </c>
      <c r="BG43" s="56">
        <v>0</v>
      </c>
      <c r="BH43" s="55">
        <f t="shared" si="15"/>
        <v>0</v>
      </c>
      <c r="BI43" s="56">
        <v>7.9999999999999996E-6</v>
      </c>
      <c r="BJ43" s="55">
        <f t="shared" si="16"/>
        <v>6.2020311652066056E-3</v>
      </c>
      <c r="BK43" s="24">
        <f t="shared" si="17"/>
        <v>1.66785943617298E-2</v>
      </c>
      <c r="BL43" s="56">
        <f t="shared" si="7"/>
        <v>1.0424121476081126E-7</v>
      </c>
      <c r="BM43" s="55"/>
    </row>
    <row r="44" spans="1:65" x14ac:dyDescent="0.35">
      <c r="A44" s="17">
        <v>717</v>
      </c>
      <c r="B44" s="25" t="s">
        <v>153</v>
      </c>
      <c r="C44" s="54">
        <v>2.3000000000000001E-4</v>
      </c>
      <c r="D44" s="55">
        <v>1.17E-3</v>
      </c>
      <c r="E44" s="56">
        <v>1.0000000000000001E-5</v>
      </c>
      <c r="F44" s="55">
        <v>5.0000000000000002E-5</v>
      </c>
      <c r="G44" s="56">
        <v>1.0000000000000001E-5</v>
      </c>
      <c r="H44" s="55">
        <v>5.0000000000000002E-5</v>
      </c>
      <c r="I44" s="56">
        <v>0</v>
      </c>
      <c r="J44" s="55">
        <v>0</v>
      </c>
      <c r="K44" s="56">
        <v>3.0000000000000001E-5</v>
      </c>
      <c r="L44" s="55">
        <v>1.3999999999999999E-4</v>
      </c>
      <c r="M44" s="56">
        <v>0</v>
      </c>
      <c r="N44" s="55">
        <v>0</v>
      </c>
      <c r="O44" s="56">
        <v>0</v>
      </c>
      <c r="P44" s="55">
        <v>0</v>
      </c>
      <c r="Q44" s="56">
        <f t="shared" si="8"/>
        <v>1.4771820937088724E-7</v>
      </c>
      <c r="R44" s="51">
        <f t="shared" si="6"/>
        <v>8.223936474781161E-7</v>
      </c>
      <c r="S44" s="56">
        <v>2.8E-5</v>
      </c>
      <c r="T44" s="51">
        <f>S44*U44/$T$56</f>
        <v>1.4027617179754591E-4</v>
      </c>
      <c r="U44" s="52">
        <f>12.0107*7+1.00794*8</f>
        <v>92.138419999999996</v>
      </c>
      <c r="V44" s="24">
        <f t="shared" si="3"/>
        <v>1.723442850494471E-4</v>
      </c>
      <c r="W44" s="24">
        <f t="shared" si="2"/>
        <v>1.745657100729491E-4</v>
      </c>
      <c r="X44" s="97">
        <f t="shared" si="4"/>
        <v>3.7845989011430268E-4</v>
      </c>
      <c r="Y44" s="18"/>
      <c r="AA44" s="25" t="s">
        <v>153</v>
      </c>
      <c r="AB44" s="56"/>
      <c r="AC44" s="55"/>
      <c r="AT44" s="25" t="s">
        <v>153</v>
      </c>
      <c r="AU44" s="54">
        <v>2.3000000000000001E-4</v>
      </c>
      <c r="AV44" s="55">
        <f t="shared" si="9"/>
        <v>6.3186813186813184E-2</v>
      </c>
      <c r="AW44" s="56">
        <v>1.0000000000000001E-5</v>
      </c>
      <c r="AX44" s="55">
        <f t="shared" si="10"/>
        <v>7.6335877862595436E-2</v>
      </c>
      <c r="AY44" s="56">
        <v>1.0000000000000001E-5</v>
      </c>
      <c r="AZ44" s="55">
        <f t="shared" si="11"/>
        <v>4.7192071731949042E-3</v>
      </c>
      <c r="BA44" s="56">
        <v>0</v>
      </c>
      <c r="BB44" s="55">
        <f t="shared" si="12"/>
        <v>0</v>
      </c>
      <c r="BC44" s="56">
        <v>3.0000000000000001E-5</v>
      </c>
      <c r="BD44" s="55">
        <f t="shared" si="13"/>
        <v>2.3130300693909017E-2</v>
      </c>
      <c r="BE44" s="56">
        <v>0</v>
      </c>
      <c r="BF44" s="55">
        <f t="shared" si="14"/>
        <v>0</v>
      </c>
      <c r="BG44" s="56">
        <v>0</v>
      </c>
      <c r="BH44" s="55">
        <f t="shared" si="15"/>
        <v>0</v>
      </c>
      <c r="BI44" s="56">
        <v>2.8E-5</v>
      </c>
      <c r="BJ44" s="55">
        <f t="shared" si="16"/>
        <v>2.1707109078223121E-2</v>
      </c>
      <c r="BK44" s="24">
        <f t="shared" si="17"/>
        <v>2.3634913499341957E-2</v>
      </c>
      <c r="BL44" s="56">
        <f t="shared" si="7"/>
        <v>1.4771820937088724E-7</v>
      </c>
      <c r="BM44" s="55"/>
    </row>
    <row r="45" spans="1:65" x14ac:dyDescent="0.35">
      <c r="A45" s="17">
        <v>449</v>
      </c>
      <c r="B45" s="25" t="s">
        <v>154</v>
      </c>
      <c r="C45" s="54">
        <v>5.0000000000000002E-5</v>
      </c>
      <c r="D45" s="55">
        <v>2.9E-4</v>
      </c>
      <c r="E45" s="56">
        <v>1.0000000000000001E-5</v>
      </c>
      <c r="F45" s="55">
        <v>6.0000000000000002E-5</v>
      </c>
      <c r="G45" s="56">
        <v>1.0000000000000001E-5</v>
      </c>
      <c r="H45" s="55">
        <v>6.0000000000000002E-5</v>
      </c>
      <c r="I45" s="56">
        <v>0</v>
      </c>
      <c r="J45" s="55">
        <v>0</v>
      </c>
      <c r="K45" s="56">
        <v>1.0000000000000001E-5</v>
      </c>
      <c r="L45" s="55">
        <v>3.0000000000000001E-5</v>
      </c>
      <c r="M45" s="56">
        <v>0</v>
      </c>
      <c r="N45" s="55">
        <v>0</v>
      </c>
      <c r="O45" s="56">
        <v>0</v>
      </c>
      <c r="P45" s="55">
        <v>0</v>
      </c>
      <c r="Q45" s="56">
        <f t="shared" si="8"/>
        <v>8.3107592563758773E-8</v>
      </c>
      <c r="R45" s="51">
        <f t="shared" si="6"/>
        <v>5.3312250726981402E-7</v>
      </c>
      <c r="S45" s="56">
        <v>5.0000000000000004E-6</v>
      </c>
      <c r="T45" s="51">
        <f>S45*U45/$T$56</f>
        <v>2.8862668524174321E-5</v>
      </c>
      <c r="U45" s="52">
        <f>12.0107*8+1.00794*10</f>
        <v>106.16499999999999</v>
      </c>
      <c r="V45" s="24">
        <f t="shared" si="3"/>
        <v>5.2155087892382687E-5</v>
      </c>
      <c r="W45" s="24">
        <f t="shared" si="2"/>
        <v>5.2827338888775421E-5</v>
      </c>
      <c r="X45" s="97">
        <f t="shared" si="4"/>
        <v>9.2568865659832322E-5</v>
      </c>
      <c r="Y45" s="18"/>
      <c r="AA45" s="25" t="s">
        <v>154</v>
      </c>
      <c r="AB45" s="56"/>
      <c r="AC45" s="55"/>
      <c r="AT45" s="25" t="s">
        <v>154</v>
      </c>
      <c r="AU45" s="54">
        <v>5.0000000000000002E-5</v>
      </c>
      <c r="AV45" s="55">
        <f t="shared" si="9"/>
        <v>1.3736263736263736E-2</v>
      </c>
      <c r="AW45" s="56">
        <v>1.0000000000000001E-5</v>
      </c>
      <c r="AX45" s="55">
        <f t="shared" si="10"/>
        <v>7.6335877862595436E-2</v>
      </c>
      <c r="AY45" s="56">
        <v>1.0000000000000001E-5</v>
      </c>
      <c r="AZ45" s="55">
        <f t="shared" si="11"/>
        <v>4.7192071731949042E-3</v>
      </c>
      <c r="BA45" s="56">
        <v>0</v>
      </c>
      <c r="BB45" s="55">
        <f t="shared" si="12"/>
        <v>0</v>
      </c>
      <c r="BC45" s="56">
        <v>1.0000000000000001E-5</v>
      </c>
      <c r="BD45" s="55">
        <f t="shared" si="13"/>
        <v>7.7101002313030064E-3</v>
      </c>
      <c r="BE45" s="56">
        <v>0</v>
      </c>
      <c r="BF45" s="55">
        <f t="shared" si="14"/>
        <v>0</v>
      </c>
      <c r="BG45" s="56">
        <v>0</v>
      </c>
      <c r="BH45" s="55">
        <f t="shared" si="15"/>
        <v>0</v>
      </c>
      <c r="BI45" s="56">
        <v>5.0000000000000004E-6</v>
      </c>
      <c r="BJ45" s="55">
        <f t="shared" si="16"/>
        <v>3.8762694782541289E-3</v>
      </c>
      <c r="BK45" s="24">
        <f t="shared" si="17"/>
        <v>1.3297214810201402E-2</v>
      </c>
      <c r="BL45" s="56">
        <f t="shared" si="7"/>
        <v>8.3107592563758773E-8</v>
      </c>
      <c r="BM45" s="55"/>
    </row>
    <row r="46" spans="1:65" x14ac:dyDescent="0.35">
      <c r="A46" s="17">
        <v>522</v>
      </c>
      <c r="B46" s="25" t="s">
        <v>155</v>
      </c>
      <c r="C46" s="54">
        <v>9.0000000000000006E-5</v>
      </c>
      <c r="D46" s="55">
        <v>5.2999999999999998E-4</v>
      </c>
      <c r="E46" s="58">
        <v>6.0000000000000002E-6</v>
      </c>
      <c r="F46" s="55">
        <v>4.0000000000000003E-5</v>
      </c>
      <c r="G46" s="56">
        <v>6.0000000000000002E-6</v>
      </c>
      <c r="H46" s="55">
        <v>4.0000000000000003E-5</v>
      </c>
      <c r="I46" s="56">
        <v>0</v>
      </c>
      <c r="J46" s="55">
        <v>0</v>
      </c>
      <c r="K46" s="56">
        <v>0</v>
      </c>
      <c r="L46" s="55">
        <v>1.0000000000000001E-5</v>
      </c>
      <c r="M46" s="56">
        <v>0</v>
      </c>
      <c r="N46" s="55">
        <v>1.0000000000000001E-5</v>
      </c>
      <c r="O46" s="56">
        <v>0</v>
      </c>
      <c r="P46" s="55">
        <v>0</v>
      </c>
      <c r="Q46" s="56">
        <f t="shared" si="8"/>
        <v>5.7674592253233941E-8</v>
      </c>
      <c r="R46" s="51">
        <f t="shared" si="6"/>
        <v>3.6997369649733511E-7</v>
      </c>
      <c r="S46" s="56">
        <v>5.9999999999999997E-7</v>
      </c>
      <c r="T46" s="51">
        <f>S46*U46/$T$56</f>
        <v>3.4635202229009185E-6</v>
      </c>
      <c r="U46" s="52">
        <f>12.0107*8+1.00794*10</f>
        <v>106.16499999999999</v>
      </c>
      <c r="V46" s="24">
        <f t="shared" si="3"/>
        <v>7.0425943768822022E-5</v>
      </c>
      <c r="W46" s="24">
        <f t="shared" si="2"/>
        <v>7.133369625824701E-5</v>
      </c>
      <c r="X46" s="97">
        <f t="shared" si="4"/>
        <v>1.7308733736588988E-4</v>
      </c>
      <c r="Y46" s="18"/>
      <c r="AA46" s="25" t="s">
        <v>155</v>
      </c>
      <c r="AB46" s="56"/>
      <c r="AC46" s="55"/>
      <c r="AT46" s="25" t="s">
        <v>155</v>
      </c>
      <c r="AU46" s="54">
        <v>9.0000000000000006E-5</v>
      </c>
      <c r="AV46" s="55">
        <f t="shared" si="9"/>
        <v>2.4725274725274728E-2</v>
      </c>
      <c r="AW46" s="58">
        <v>6.0000000000000002E-6</v>
      </c>
      <c r="AX46" s="55">
        <f t="shared" si="10"/>
        <v>4.5801526717557259E-2</v>
      </c>
      <c r="AY46" s="56">
        <v>6.0000000000000002E-6</v>
      </c>
      <c r="AZ46" s="55">
        <f t="shared" si="11"/>
        <v>2.8315243039169422E-3</v>
      </c>
      <c r="BA46" s="56">
        <v>0</v>
      </c>
      <c r="BB46" s="55">
        <f t="shared" si="12"/>
        <v>0</v>
      </c>
      <c r="BC46" s="56">
        <v>0</v>
      </c>
      <c r="BD46" s="55">
        <f t="shared" si="13"/>
        <v>0</v>
      </c>
      <c r="BE46" s="56">
        <v>0</v>
      </c>
      <c r="BF46" s="55">
        <f t="shared" si="14"/>
        <v>0</v>
      </c>
      <c r="BG46" s="56">
        <v>0</v>
      </c>
      <c r="BH46" s="55">
        <f t="shared" si="15"/>
        <v>0</v>
      </c>
      <c r="BI46" s="56">
        <v>5.9999999999999997E-7</v>
      </c>
      <c r="BJ46" s="55">
        <f t="shared" si="16"/>
        <v>4.6515233739049541E-4</v>
      </c>
      <c r="BK46" s="24">
        <f t="shared" si="17"/>
        <v>9.2279347605174304E-3</v>
      </c>
      <c r="BL46" s="56">
        <f t="shared" si="7"/>
        <v>5.7674592253233941E-8</v>
      </c>
      <c r="BM46" s="55"/>
    </row>
    <row r="47" spans="1:65" x14ac:dyDescent="0.35">
      <c r="A47" s="17">
        <v>620</v>
      </c>
      <c r="B47" s="25" t="s">
        <v>156</v>
      </c>
      <c r="C47" s="54">
        <v>2.0000000000000002E-5</v>
      </c>
      <c r="D47" s="55">
        <v>1.2E-4</v>
      </c>
      <c r="E47" s="59">
        <v>3.0000000000000001E-6</v>
      </c>
      <c r="F47" s="55">
        <v>2.0000000000000002E-5</v>
      </c>
      <c r="G47" s="56">
        <v>3.0000000000000001E-6</v>
      </c>
      <c r="H47" s="55">
        <v>2.0000000000000002E-5</v>
      </c>
      <c r="I47" s="56">
        <v>0</v>
      </c>
      <c r="J47" s="55">
        <v>0</v>
      </c>
      <c r="K47" s="56">
        <v>0</v>
      </c>
      <c r="L47" s="55"/>
      <c r="M47" s="56">
        <v>0</v>
      </c>
      <c r="N47" s="55">
        <v>0</v>
      </c>
      <c r="O47" s="56">
        <v>0</v>
      </c>
      <c r="P47" s="55">
        <v>0</v>
      </c>
      <c r="Q47" s="56">
        <f t="shared" si="8"/>
        <v>2.3471568104638941E-8</v>
      </c>
      <c r="R47" s="51">
        <f t="shared" si="6"/>
        <v>1.5056652288296489E-7</v>
      </c>
      <c r="S47" s="56">
        <v>2.9999999999999999E-7</v>
      </c>
      <c r="T47" s="51">
        <f>S47*U47/$T$56</f>
        <v>1.7317601114504592E-6</v>
      </c>
      <c r="U47" s="52">
        <f>12.0107*8+1.00794*10</f>
        <v>106.16499999999999</v>
      </c>
      <c r="V47" s="24">
        <f t="shared" si="3"/>
        <v>2.0235290829291681E-5</v>
      </c>
      <c r="W47" s="24">
        <f t="shared" si="2"/>
        <v>2.049611283097936E-5</v>
      </c>
      <c r="X47" s="97">
        <f t="shared" si="4"/>
        <v>4.1278298871014017E-5</v>
      </c>
      <c r="Y47" s="18"/>
      <c r="AA47" s="25" t="s">
        <v>156</v>
      </c>
      <c r="AB47" s="56"/>
      <c r="AC47" s="55"/>
      <c r="AT47" s="25" t="s">
        <v>156</v>
      </c>
      <c r="AU47" s="54">
        <v>2.0000000000000002E-5</v>
      </c>
      <c r="AV47" s="55">
        <f t="shared" si="9"/>
        <v>5.4945054945054949E-3</v>
      </c>
      <c r="AW47" s="59">
        <v>3.0000000000000001E-6</v>
      </c>
      <c r="AX47" s="55">
        <f t="shared" si="10"/>
        <v>2.2900763358778629E-2</v>
      </c>
      <c r="AY47" s="56">
        <v>3.0000000000000001E-6</v>
      </c>
      <c r="AZ47" s="55">
        <f t="shared" si="11"/>
        <v>1.4157621519584711E-3</v>
      </c>
      <c r="BA47" s="56">
        <v>0</v>
      </c>
      <c r="BB47" s="55">
        <f t="shared" si="12"/>
        <v>0</v>
      </c>
      <c r="BC47" s="56">
        <v>0</v>
      </c>
      <c r="BD47" s="55">
        <f t="shared" si="13"/>
        <v>0</v>
      </c>
      <c r="BE47" s="56">
        <v>0</v>
      </c>
      <c r="BF47" s="55">
        <f t="shared" si="14"/>
        <v>0</v>
      </c>
      <c r="BG47" s="56">
        <v>0</v>
      </c>
      <c r="BH47" s="55">
        <f t="shared" si="15"/>
        <v>0</v>
      </c>
      <c r="BI47" s="56">
        <v>2.9999999999999999E-7</v>
      </c>
      <c r="BJ47" s="55">
        <f t="shared" si="16"/>
        <v>2.325761686952477E-4</v>
      </c>
      <c r="BK47" s="24">
        <f t="shared" si="17"/>
        <v>3.7554508967422304E-3</v>
      </c>
      <c r="BL47" s="56">
        <f t="shared" si="7"/>
        <v>2.3471568104638941E-8</v>
      </c>
      <c r="BM47" s="55"/>
    </row>
    <row r="48" spans="1:65" x14ac:dyDescent="0.35">
      <c r="A48" s="17">
        <v>2011</v>
      </c>
      <c r="B48" s="25" t="s">
        <v>182</v>
      </c>
      <c r="C48" s="54"/>
      <c r="D48" s="55"/>
      <c r="E48" s="60"/>
      <c r="F48" s="55"/>
      <c r="G48" s="56"/>
      <c r="H48" s="55"/>
      <c r="I48" s="56"/>
      <c r="J48" s="55"/>
      <c r="K48" s="56">
        <v>1.9000000000000001E-4</v>
      </c>
      <c r="L48" s="55">
        <v>1.1900000000000001E-3</v>
      </c>
      <c r="M48" s="56">
        <v>0</v>
      </c>
      <c r="N48" s="55">
        <v>0</v>
      </c>
      <c r="O48" s="56">
        <v>0</v>
      </c>
      <c r="P48" s="55">
        <v>0</v>
      </c>
      <c r="Q48" s="56">
        <f t="shared" si="8"/>
        <v>1.14446800308404E-7</v>
      </c>
      <c r="R48" s="51">
        <f t="shared" si="6"/>
        <v>7.8288781787677885E-7</v>
      </c>
      <c r="S48" s="56"/>
      <c r="T48" s="57"/>
      <c r="U48" s="53">
        <v>113.2116</v>
      </c>
      <c r="V48" s="24">
        <f t="shared" si="3"/>
        <v>2.9769572195446919E-4</v>
      </c>
      <c r="W48" s="24">
        <f t="shared" si="2"/>
        <v>3.0153285949546403E-4</v>
      </c>
      <c r="X48" s="97">
        <f t="shared" si="4"/>
        <v>5.9486963317838672E-4</v>
      </c>
      <c r="Y48" s="18"/>
      <c r="AA48" s="25" t="s">
        <v>157</v>
      </c>
      <c r="AB48" s="56"/>
      <c r="AC48" s="55"/>
      <c r="AT48" s="25" t="s">
        <v>157</v>
      </c>
      <c r="AU48" s="54"/>
      <c r="AV48" s="55">
        <f t="shared" si="9"/>
        <v>0</v>
      </c>
      <c r="AW48" s="60"/>
      <c r="AX48" s="55">
        <f t="shared" si="10"/>
        <v>0</v>
      </c>
      <c r="AY48" s="56"/>
      <c r="AZ48" s="55">
        <f t="shared" si="11"/>
        <v>0</v>
      </c>
      <c r="BA48" s="56"/>
      <c r="BB48" s="55">
        <f t="shared" si="12"/>
        <v>0</v>
      </c>
      <c r="BC48" s="56">
        <v>1.9000000000000001E-4</v>
      </c>
      <c r="BD48" s="55">
        <f t="shared" si="13"/>
        <v>0.14649190439475712</v>
      </c>
      <c r="BE48" s="56">
        <v>0</v>
      </c>
      <c r="BF48" s="55">
        <f t="shared" si="14"/>
        <v>0</v>
      </c>
      <c r="BG48" s="56">
        <v>0</v>
      </c>
      <c r="BH48" s="55">
        <f t="shared" si="15"/>
        <v>0</v>
      </c>
      <c r="BI48" s="56"/>
      <c r="BJ48" s="55">
        <f t="shared" si="16"/>
        <v>0</v>
      </c>
      <c r="BK48" s="24">
        <f t="shared" si="17"/>
        <v>1.831148804934464E-2</v>
      </c>
      <c r="BL48" s="56">
        <f t="shared" si="7"/>
        <v>1.14446800308404E-7</v>
      </c>
      <c r="BM48" s="55"/>
    </row>
    <row r="49" spans="1:65" x14ac:dyDescent="0.35">
      <c r="A49" s="17">
        <v>635</v>
      </c>
      <c r="B49" s="25" t="s">
        <v>158</v>
      </c>
      <c r="C49" s="54">
        <v>1E-4</v>
      </c>
      <c r="D49" s="55">
        <v>6.9999999999999999E-4</v>
      </c>
      <c r="E49" s="56"/>
      <c r="F49" s="55"/>
      <c r="G49" s="56"/>
      <c r="H49" s="55"/>
      <c r="I49" s="56"/>
      <c r="J49" s="55"/>
      <c r="K49" s="56"/>
      <c r="L49" s="55"/>
      <c r="M49" s="56"/>
      <c r="N49" s="55"/>
      <c r="O49" s="56"/>
      <c r="P49" s="55"/>
      <c r="Q49" s="56">
        <f t="shared" si="8"/>
        <v>2.1462912087912087E-8</v>
      </c>
      <c r="R49" s="51">
        <f t="shared" si="6"/>
        <v>1.6501162014870084E-7</v>
      </c>
      <c r="S49" s="56"/>
      <c r="T49" s="57"/>
      <c r="U49" s="53">
        <v>127.2392</v>
      </c>
      <c r="V49" s="24">
        <f t="shared" si="3"/>
        <v>3.5008250581007437E-4</v>
      </c>
      <c r="W49" s="24">
        <f t="shared" si="2"/>
        <v>3.5459488078365501E-4</v>
      </c>
      <c r="X49" s="97">
        <f t="shared" si="4"/>
        <v>4.9485806599500149E-4</v>
      </c>
      <c r="Y49" s="18"/>
      <c r="AA49" s="25" t="s">
        <v>158</v>
      </c>
      <c r="AB49" s="56"/>
      <c r="AC49" s="55"/>
      <c r="AT49" s="25" t="s">
        <v>158</v>
      </c>
      <c r="AU49" s="54">
        <v>1E-4</v>
      </c>
      <c r="AV49" s="55">
        <f t="shared" si="9"/>
        <v>2.7472527472527472E-2</v>
      </c>
      <c r="AW49" s="56"/>
      <c r="AX49" s="55">
        <f t="shared" si="10"/>
        <v>0</v>
      </c>
      <c r="AY49" s="56"/>
      <c r="AZ49" s="55">
        <f t="shared" si="11"/>
        <v>0</v>
      </c>
      <c r="BA49" s="56"/>
      <c r="BB49" s="55">
        <f t="shared" si="12"/>
        <v>0</v>
      </c>
      <c r="BC49" s="56"/>
      <c r="BD49" s="55">
        <f t="shared" si="13"/>
        <v>0</v>
      </c>
      <c r="BE49" s="56"/>
      <c r="BF49" s="55">
        <f t="shared" si="14"/>
        <v>0</v>
      </c>
      <c r="BG49" s="56"/>
      <c r="BH49" s="55">
        <f t="shared" si="15"/>
        <v>0</v>
      </c>
      <c r="BI49" s="56"/>
      <c r="BJ49" s="55">
        <f t="shared" si="16"/>
        <v>0</v>
      </c>
      <c r="BK49" s="24">
        <f t="shared" si="17"/>
        <v>3.434065934065934E-3</v>
      </c>
      <c r="BL49" s="56">
        <f t="shared" si="7"/>
        <v>2.1462912087912087E-8</v>
      </c>
      <c r="BM49" s="55"/>
    </row>
    <row r="50" spans="1:65" x14ac:dyDescent="0.35">
      <c r="A50" s="17">
        <v>603</v>
      </c>
      <c r="B50" s="25" t="s">
        <v>159</v>
      </c>
      <c r="C50" s="54">
        <v>5.0000000000000002E-5</v>
      </c>
      <c r="D50" s="55">
        <v>3.5E-4</v>
      </c>
      <c r="E50" s="56"/>
      <c r="F50" s="55"/>
      <c r="G50" s="56"/>
      <c r="H50" s="55"/>
      <c r="I50" s="56"/>
      <c r="J50" s="55"/>
      <c r="K50" s="56"/>
      <c r="L50" s="55"/>
      <c r="M50" s="56"/>
      <c r="N50" s="55"/>
      <c r="O50" s="56"/>
      <c r="P50" s="55"/>
      <c r="Q50" s="56">
        <f t="shared" si="8"/>
        <v>1.0731456043956044E-8</v>
      </c>
      <c r="R50" s="51">
        <f t="shared" si="6"/>
        <v>8.3164550874784049E-8</v>
      </c>
      <c r="S50" s="56"/>
      <c r="T50" s="57"/>
      <c r="U50" s="53">
        <v>128.2551</v>
      </c>
      <c r="V50" s="24">
        <f t="shared" si="3"/>
        <v>1.7504158227543739E-4</v>
      </c>
      <c r="W50" s="24">
        <f t="shared" si="2"/>
        <v>1.7729777400763479E-4</v>
      </c>
      <c r="X50" s="97">
        <f t="shared" si="4"/>
        <v>2.4742856719741377E-4</v>
      </c>
      <c r="Y50" s="18"/>
      <c r="AA50" s="25" t="s">
        <v>159</v>
      </c>
      <c r="AB50" s="56"/>
      <c r="AC50" s="55"/>
      <c r="AT50" s="25" t="s">
        <v>159</v>
      </c>
      <c r="AU50" s="54">
        <v>5.0000000000000002E-5</v>
      </c>
      <c r="AV50" s="55">
        <f t="shared" si="9"/>
        <v>1.3736263736263736E-2</v>
      </c>
      <c r="AW50" s="56"/>
      <c r="AX50" s="55">
        <f t="shared" si="10"/>
        <v>0</v>
      </c>
      <c r="AY50" s="56"/>
      <c r="AZ50" s="55">
        <f t="shared" si="11"/>
        <v>0</v>
      </c>
      <c r="BA50" s="56"/>
      <c r="BB50" s="55">
        <f t="shared" si="12"/>
        <v>0</v>
      </c>
      <c r="BC50" s="56"/>
      <c r="BD50" s="55">
        <f t="shared" si="13"/>
        <v>0</v>
      </c>
      <c r="BE50" s="56"/>
      <c r="BF50" s="55">
        <f t="shared" si="14"/>
        <v>0</v>
      </c>
      <c r="BG50" s="56"/>
      <c r="BH50" s="55">
        <f t="shared" si="15"/>
        <v>0</v>
      </c>
      <c r="BI50" s="56"/>
      <c r="BJ50" s="55">
        <f t="shared" si="16"/>
        <v>0</v>
      </c>
      <c r="BK50" s="24">
        <f t="shared" si="17"/>
        <v>1.717032967032967E-3</v>
      </c>
      <c r="BL50" s="56">
        <f t="shared" si="7"/>
        <v>1.0731456043956044E-8</v>
      </c>
      <c r="BM50" s="55"/>
    </row>
    <row r="51" spans="1:65" x14ac:dyDescent="0.35">
      <c r="A51" s="17">
        <v>628</v>
      </c>
      <c r="B51" s="25" t="s">
        <v>160</v>
      </c>
      <c r="C51" s="54">
        <v>5.0000000000000002E-5</v>
      </c>
      <c r="D51" s="55">
        <v>3.8999999999999999E-4</v>
      </c>
      <c r="E51" s="56"/>
      <c r="F51" s="55"/>
      <c r="G51" s="56"/>
      <c r="H51" s="55"/>
      <c r="I51" s="56"/>
      <c r="J51" s="55"/>
      <c r="K51" s="56"/>
      <c r="L51" s="55"/>
      <c r="M51" s="56"/>
      <c r="N51" s="55"/>
      <c r="O51" s="56"/>
      <c r="P51" s="55"/>
      <c r="Q51" s="56">
        <f t="shared" si="8"/>
        <v>1.0731456043956044E-8</v>
      </c>
      <c r="R51" s="51">
        <f t="shared" si="6"/>
        <v>9.1601574327738784E-8</v>
      </c>
      <c r="S51" s="56"/>
      <c r="T51" s="57"/>
      <c r="U51" s="53">
        <v>141.266548691526</v>
      </c>
      <c r="V51" s="24">
        <f t="shared" si="3"/>
        <v>1.9504580078716387E-4</v>
      </c>
      <c r="W51" s="24">
        <f t="shared" si="2"/>
        <v>1.9755983612331255E-4</v>
      </c>
      <c r="X51" s="97">
        <f t="shared" si="4"/>
        <v>2.7570687256837901E-4</v>
      </c>
      <c r="Y51" s="18"/>
      <c r="AA51" s="25" t="s">
        <v>160</v>
      </c>
      <c r="AB51" s="56"/>
      <c r="AC51" s="55"/>
      <c r="AT51" s="25" t="s">
        <v>160</v>
      </c>
      <c r="AU51" s="54">
        <v>5.0000000000000002E-5</v>
      </c>
      <c r="AV51" s="55">
        <f t="shared" si="9"/>
        <v>1.3736263736263736E-2</v>
      </c>
      <c r="AW51" s="56"/>
      <c r="AX51" s="55">
        <f t="shared" si="10"/>
        <v>0</v>
      </c>
      <c r="AY51" s="56"/>
      <c r="AZ51" s="55">
        <f t="shared" si="11"/>
        <v>0</v>
      </c>
      <c r="BA51" s="56"/>
      <c r="BB51" s="55">
        <f t="shared" si="12"/>
        <v>0</v>
      </c>
      <c r="BC51" s="56"/>
      <c r="BD51" s="55">
        <f t="shared" si="13"/>
        <v>0</v>
      </c>
      <c r="BE51" s="56"/>
      <c r="BF51" s="55">
        <f t="shared" si="14"/>
        <v>0</v>
      </c>
      <c r="BG51" s="56"/>
      <c r="BH51" s="55">
        <f t="shared" si="15"/>
        <v>0</v>
      </c>
      <c r="BI51" s="56"/>
      <c r="BJ51" s="55">
        <f t="shared" si="16"/>
        <v>0</v>
      </c>
      <c r="BK51" s="24">
        <f t="shared" si="17"/>
        <v>1.717032967032967E-3</v>
      </c>
      <c r="BL51" s="56">
        <f t="shared" si="7"/>
        <v>1.0731456043956044E-8</v>
      </c>
      <c r="BM51" s="55"/>
    </row>
    <row r="52" spans="1:65" x14ac:dyDescent="0.35">
      <c r="A52" s="17">
        <v>598</v>
      </c>
      <c r="B52" s="25" t="s">
        <v>161</v>
      </c>
      <c r="C52" s="54">
        <v>2.0000000000000002E-5</v>
      </c>
      <c r="D52" s="55">
        <v>1.6000000000000001E-4</v>
      </c>
      <c r="E52" s="56"/>
      <c r="F52" s="55"/>
      <c r="G52" s="56"/>
      <c r="H52" s="55"/>
      <c r="I52" s="56"/>
      <c r="J52" s="55"/>
      <c r="K52" s="56"/>
      <c r="L52" s="55"/>
      <c r="M52" s="56"/>
      <c r="N52" s="55"/>
      <c r="O52" s="56"/>
      <c r="P52" s="55"/>
      <c r="Q52" s="56">
        <f t="shared" si="8"/>
        <v>4.2925824175824179E-9</v>
      </c>
      <c r="R52" s="51">
        <f t="shared" si="6"/>
        <v>3.6903905924195369E-8</v>
      </c>
      <c r="S52" s="56"/>
      <c r="T52" s="57"/>
      <c r="U52" s="53">
        <v>142.2816</v>
      </c>
      <c r="V52" s="24">
        <f t="shared" si="3"/>
        <v>8.0018451952962107E-5</v>
      </c>
      <c r="W52" s="24">
        <f t="shared" si="2"/>
        <v>8.1049846707126439E-5</v>
      </c>
      <c r="X52" s="97">
        <f t="shared" si="4"/>
        <v>1.1311098998771635E-4</v>
      </c>
      <c r="Y52" s="18"/>
      <c r="AA52" s="25" t="s">
        <v>161</v>
      </c>
      <c r="AB52" s="56"/>
      <c r="AC52" s="55"/>
      <c r="AT52" s="25" t="s">
        <v>161</v>
      </c>
      <c r="AU52" s="54">
        <v>2.0000000000000002E-5</v>
      </c>
      <c r="AV52" s="55">
        <f t="shared" si="9"/>
        <v>5.4945054945054949E-3</v>
      </c>
      <c r="AW52" s="56"/>
      <c r="AX52" s="55">
        <f t="shared" si="10"/>
        <v>0</v>
      </c>
      <c r="AY52" s="56"/>
      <c r="AZ52" s="55">
        <f t="shared" si="11"/>
        <v>0</v>
      </c>
      <c r="BA52" s="56"/>
      <c r="BB52" s="55">
        <f t="shared" si="12"/>
        <v>0</v>
      </c>
      <c r="BC52" s="56"/>
      <c r="BD52" s="55">
        <f t="shared" si="13"/>
        <v>0</v>
      </c>
      <c r="BE52" s="56"/>
      <c r="BF52" s="55">
        <f t="shared" si="14"/>
        <v>0</v>
      </c>
      <c r="BG52" s="56"/>
      <c r="BH52" s="55">
        <f t="shared" si="15"/>
        <v>0</v>
      </c>
      <c r="BI52" s="56"/>
      <c r="BJ52" s="55">
        <f t="shared" si="16"/>
        <v>0</v>
      </c>
      <c r="BK52" s="24">
        <f t="shared" si="17"/>
        <v>6.8681318681318687E-4</v>
      </c>
      <c r="BL52" s="56">
        <f t="shared" si="7"/>
        <v>4.2925824175824179E-9</v>
      </c>
      <c r="BM52" s="55"/>
    </row>
    <row r="53" spans="1:65" x14ac:dyDescent="0.35">
      <c r="A53" s="17">
        <v>505</v>
      </c>
      <c r="B53" s="25" t="s">
        <v>162</v>
      </c>
      <c r="C53" s="54">
        <v>1.0000000000000001E-5</v>
      </c>
      <c r="D53" s="55">
        <v>8.0000000000000007E-5</v>
      </c>
      <c r="E53" s="56"/>
      <c r="F53" s="55"/>
      <c r="G53" s="56"/>
      <c r="H53" s="55"/>
      <c r="I53" s="56"/>
      <c r="J53" s="55"/>
      <c r="K53" s="56"/>
      <c r="L53" s="55"/>
      <c r="M53" s="56"/>
      <c r="N53" s="55"/>
      <c r="O53" s="56"/>
      <c r="P53" s="55"/>
      <c r="Q53" s="56">
        <f t="shared" si="8"/>
        <v>2.146291208791209E-9</v>
      </c>
      <c r="R53" s="51">
        <f t="shared" si="6"/>
        <v>2.0271016499022607E-8</v>
      </c>
      <c r="S53" s="56"/>
      <c r="T53" s="57"/>
      <c r="U53" s="53">
        <v>156.30825999999999</v>
      </c>
      <c r="V53" s="24">
        <f t="shared" si="3"/>
        <v>4.0010135508249517E-5</v>
      </c>
      <c r="W53" s="24">
        <f t="shared" si="2"/>
        <v>4.0525844608706375E-5</v>
      </c>
      <c r="X53" s="97">
        <f t="shared" si="4"/>
        <v>5.6554208721695805E-5</v>
      </c>
      <c r="Y53" s="18"/>
      <c r="AA53" s="25" t="s">
        <v>162</v>
      </c>
      <c r="AB53" s="56"/>
      <c r="AC53" s="55"/>
      <c r="AT53" s="25" t="s">
        <v>162</v>
      </c>
      <c r="AU53" s="54">
        <v>1.0000000000000001E-5</v>
      </c>
      <c r="AV53" s="55">
        <f t="shared" si="9"/>
        <v>2.7472527472527475E-3</v>
      </c>
      <c r="AW53" s="56"/>
      <c r="AX53" s="55">
        <f t="shared" si="10"/>
        <v>0</v>
      </c>
      <c r="AY53" s="56"/>
      <c r="AZ53" s="55">
        <f t="shared" si="11"/>
        <v>0</v>
      </c>
      <c r="BA53" s="56"/>
      <c r="BB53" s="55">
        <f t="shared" si="12"/>
        <v>0</v>
      </c>
      <c r="BC53" s="56"/>
      <c r="BD53" s="55">
        <f t="shared" si="13"/>
        <v>0</v>
      </c>
      <c r="BE53" s="56"/>
      <c r="BF53" s="55">
        <f t="shared" si="14"/>
        <v>0</v>
      </c>
      <c r="BG53" s="56"/>
      <c r="BH53" s="55">
        <f t="shared" si="15"/>
        <v>0</v>
      </c>
      <c r="BI53" s="56"/>
      <c r="BJ53" s="55">
        <f t="shared" si="16"/>
        <v>0</v>
      </c>
      <c r="BK53" s="24">
        <f t="shared" si="17"/>
        <v>3.4340659340659343E-4</v>
      </c>
      <c r="BL53" s="56">
        <f t="shared" si="7"/>
        <v>2.146291208791209E-9</v>
      </c>
      <c r="BM53" s="55"/>
    </row>
    <row r="54" spans="1:65" ht="15" thickBot="1" x14ac:dyDescent="0.4">
      <c r="B54" s="27" t="s">
        <v>163</v>
      </c>
      <c r="C54" s="61">
        <f>SUM(C13:C53)</f>
        <v>0.99999999999999989</v>
      </c>
      <c r="D54" s="62">
        <f>SUM(D13:D53)</f>
        <v>1.0000000000000002</v>
      </c>
      <c r="E54" s="63"/>
      <c r="F54" s="62"/>
      <c r="G54" s="63">
        <f t="shared" ref="G54:T54" si="18">SUM(G13:G53)</f>
        <v>1.0000390000000003</v>
      </c>
      <c r="H54" s="62">
        <f t="shared" si="18"/>
        <v>0.99999000000000016</v>
      </c>
      <c r="I54" s="63">
        <f t="shared" si="18"/>
        <v>0.99999999999999989</v>
      </c>
      <c r="J54" s="62">
        <f t="shared" si="18"/>
        <v>1</v>
      </c>
      <c r="K54" s="63">
        <f t="shared" si="18"/>
        <v>1.0000069999999999</v>
      </c>
      <c r="L54" s="62">
        <f t="shared" si="18"/>
        <v>1.0000099999999998</v>
      </c>
      <c r="M54" s="63">
        <f t="shared" si="18"/>
        <v>1</v>
      </c>
      <c r="N54" s="62">
        <f t="shared" si="18"/>
        <v>0.99999000000000005</v>
      </c>
      <c r="O54" s="63">
        <f t="shared" si="18"/>
        <v>1</v>
      </c>
      <c r="P54" s="62">
        <f t="shared" si="18"/>
        <v>1</v>
      </c>
      <c r="Q54" s="63">
        <f t="shared" si="18"/>
        <v>1.0002066874999995</v>
      </c>
      <c r="R54" s="62">
        <f t="shared" si="18"/>
        <v>1.0000011798404858</v>
      </c>
      <c r="S54" s="63">
        <f t="shared" si="18"/>
        <v>0.99999990000000005</v>
      </c>
      <c r="T54" s="64">
        <f t="shared" si="18"/>
        <v>1.0000000000000007</v>
      </c>
      <c r="U54" s="65"/>
      <c r="V54" s="24">
        <f>SUM(V18:V53)</f>
        <v>0.98727456255542012</v>
      </c>
      <c r="W54" s="24">
        <f>SUM(W18:W53)</f>
        <v>1.0000000000000002</v>
      </c>
      <c r="Y54" s="18"/>
      <c r="AA54" s="27" t="s">
        <v>163</v>
      </c>
      <c r="AB54" s="56"/>
      <c r="AC54" s="55"/>
      <c r="AT54" s="27" t="s">
        <v>163</v>
      </c>
      <c r="AU54" s="61">
        <f>SUM(AU13:AU53)</f>
        <v>0.99999999999999989</v>
      </c>
      <c r="AV54" s="62"/>
      <c r="AW54" s="63"/>
      <c r="AX54" s="62"/>
      <c r="AY54" s="63">
        <f>SUM(AY13:AY53)</f>
        <v>1.0000390000000003</v>
      </c>
      <c r="AZ54" s="62"/>
      <c r="BA54" s="63">
        <f>SUM(BA13:BA53)</f>
        <v>0.99999999999999989</v>
      </c>
      <c r="BB54" s="62"/>
      <c r="BC54" s="63">
        <f>SUM(BC13:BC53)</f>
        <v>1.0000069999999999</v>
      </c>
      <c r="BD54" s="62"/>
      <c r="BE54" s="63">
        <f>SUM(BE13:BE53)</f>
        <v>1</v>
      </c>
      <c r="BF54" s="62"/>
      <c r="BG54" s="63">
        <f>SUM(BG13:BG53)</f>
        <v>1</v>
      </c>
      <c r="BH54" s="62"/>
      <c r="BI54" s="63">
        <f>SUM(BI13:BI53)</f>
        <v>0.99999990000000005</v>
      </c>
      <c r="BJ54" s="62"/>
      <c r="BL54" s="63"/>
      <c r="BM54" s="62">
        <f>SUM(BM13:BM53)</f>
        <v>0</v>
      </c>
    </row>
    <row r="55" spans="1:65" ht="27" thickBot="1" x14ac:dyDescent="0.4">
      <c r="B55" s="28" t="s">
        <v>164</v>
      </c>
      <c r="C55" s="66">
        <f t="shared" ref="C55:T55" si="19">SUM(C20:C53)</f>
        <v>6.6599999999999993E-3</v>
      </c>
      <c r="D55" s="66">
        <f t="shared" si="19"/>
        <v>2.7189999999999995E-2</v>
      </c>
      <c r="E55" s="66">
        <f t="shared" si="19"/>
        <v>1.2271000000000001E-2</v>
      </c>
      <c r="F55" s="66">
        <f t="shared" si="19"/>
        <v>2.8579999999999994E-2</v>
      </c>
      <c r="G55" s="66">
        <f t="shared" si="19"/>
        <v>3.8829000000000002E-2</v>
      </c>
      <c r="H55" s="67">
        <f t="shared" si="19"/>
        <v>0.10420000000000001</v>
      </c>
      <c r="I55" s="66">
        <f t="shared" si="19"/>
        <v>4.9077000000000003E-2</v>
      </c>
      <c r="J55" s="67">
        <f t="shared" si="19"/>
        <v>0.12998999999999999</v>
      </c>
      <c r="K55" s="66">
        <f t="shared" si="19"/>
        <v>2.6362E-2</v>
      </c>
      <c r="L55" s="67">
        <f t="shared" si="19"/>
        <v>7.3349999999999985E-2</v>
      </c>
      <c r="M55" s="66">
        <f t="shared" si="19"/>
        <v>3.8364999999999996E-2</v>
      </c>
      <c r="N55" s="67">
        <f t="shared" si="19"/>
        <v>0.10287000000000002</v>
      </c>
      <c r="O55" s="66">
        <f t="shared" si="19"/>
        <v>4.0820000000000002E-2</v>
      </c>
      <c r="P55" s="67">
        <f t="shared" si="19"/>
        <v>0.10908</v>
      </c>
      <c r="Q55" s="66">
        <f t="shared" si="19"/>
        <v>1.6754375000000001E-3</v>
      </c>
      <c r="R55" s="67">
        <f t="shared" si="19"/>
        <v>4.6295286652235272E-3</v>
      </c>
      <c r="S55" s="66">
        <f t="shared" si="19"/>
        <v>2.6354900000000004E-2</v>
      </c>
      <c r="T55" s="67">
        <f t="shared" si="19"/>
        <v>7.3305645743330289E-2</v>
      </c>
      <c r="W55" s="67">
        <f>SUM(W20:W53)</f>
        <v>7.8155841853969538E-2</v>
      </c>
      <c r="Y55" s="18"/>
      <c r="AA55" s="28" t="s">
        <v>164</v>
      </c>
      <c r="AB55" s="85">
        <f t="shared" ref="AB55:AQ55" si="20">SUM(AB13:AB54)</f>
        <v>0.99999999999999989</v>
      </c>
      <c r="AC55" s="86">
        <f t="shared" si="20"/>
        <v>1</v>
      </c>
      <c r="AD55" s="85">
        <f t="shared" si="20"/>
        <v>0.99999999999999989</v>
      </c>
      <c r="AE55" s="86">
        <f t="shared" si="20"/>
        <v>1</v>
      </c>
      <c r="AF55" s="85">
        <f t="shared" si="20"/>
        <v>1</v>
      </c>
      <c r="AG55" s="86">
        <f t="shared" si="20"/>
        <v>1</v>
      </c>
      <c r="AH55" s="85">
        <f t="shared" si="20"/>
        <v>1</v>
      </c>
      <c r="AI55" s="86">
        <f t="shared" si="20"/>
        <v>1.0000000000000002</v>
      </c>
      <c r="AJ55" s="85">
        <f t="shared" si="20"/>
        <v>1</v>
      </c>
      <c r="AK55" s="86">
        <f t="shared" si="20"/>
        <v>1</v>
      </c>
      <c r="AL55" s="85">
        <f t="shared" si="20"/>
        <v>1</v>
      </c>
      <c r="AM55" s="86">
        <f t="shared" si="20"/>
        <v>1.0000000000000002</v>
      </c>
      <c r="AN55" s="85">
        <f t="shared" si="20"/>
        <v>0.99999999999999989</v>
      </c>
      <c r="AO55" s="86">
        <f t="shared" si="20"/>
        <v>1.0017670000000001</v>
      </c>
      <c r="AP55" s="85">
        <f t="shared" si="20"/>
        <v>0.99999999999999989</v>
      </c>
      <c r="AQ55" s="86">
        <f t="shared" si="20"/>
        <v>1</v>
      </c>
      <c r="AT55" s="28" t="s">
        <v>174</v>
      </c>
      <c r="AU55" s="66">
        <f>SUM(AU27:AU53)</f>
        <v>3.64E-3</v>
      </c>
      <c r="AV55" s="66"/>
      <c r="AW55" s="66">
        <f>SUM(AW27:AW53)</f>
        <v>1.3099999999999999E-4</v>
      </c>
      <c r="AX55" s="66"/>
      <c r="AY55" s="66">
        <f>SUM(AY27:AY53)</f>
        <v>2.1189999999999998E-3</v>
      </c>
      <c r="AZ55" s="66"/>
      <c r="BA55" s="66">
        <f>SUM(BA27:BA53)</f>
        <v>3.5860000000000002E-3</v>
      </c>
      <c r="BB55" s="66"/>
      <c r="BC55" s="66">
        <f>SUM(BC27:BC53)</f>
        <v>1.2970000000000002E-3</v>
      </c>
      <c r="BD55" s="66"/>
      <c r="BE55" s="66">
        <f>SUM(BE27:BE53)</f>
        <v>2.1359999999999999E-3</v>
      </c>
      <c r="BF55" s="66"/>
      <c r="BG55" s="66">
        <f>SUM(BG27:BG53)</f>
        <v>2.2590000000000002E-3</v>
      </c>
      <c r="BH55" s="66"/>
      <c r="BI55" s="66">
        <f>SUM(BI27:BI53)</f>
        <v>1.2898999999999999E-3</v>
      </c>
      <c r="BJ55" s="66"/>
      <c r="BK55" s="66">
        <f>SUM(BK27:BK53)</f>
        <v>1</v>
      </c>
      <c r="BL55" s="66"/>
      <c r="BM55" s="67">
        <f>SUM(BM20:BM53)</f>
        <v>0</v>
      </c>
    </row>
    <row r="56" spans="1:65" ht="15" thickBot="1" x14ac:dyDescent="0.4">
      <c r="B56" s="23" t="s">
        <v>165</v>
      </c>
      <c r="C56" s="68"/>
      <c r="D56" s="69"/>
      <c r="E56" s="68"/>
      <c r="F56" s="69"/>
      <c r="G56" s="68"/>
      <c r="H56" s="69"/>
      <c r="I56" s="68"/>
      <c r="J56" s="69"/>
      <c r="K56" s="68"/>
      <c r="L56" s="69"/>
      <c r="M56" s="68"/>
      <c r="N56" s="69"/>
      <c r="O56" s="68"/>
      <c r="P56" s="69"/>
      <c r="Q56" s="68"/>
      <c r="R56" s="69">
        <f>Q15*U15+Q16*U16+Q17*U17+Q18*U18+Q19*U19+Q20*U20+Q21*U21+Q22*U22+Q24*U24+Q25*U25+Q26*U26+Q33*U33+Q34*U34+Q35*U35+Q32*U32+Q39*U39+Q38*U38+Q40*U40+Q41*U41+Q43*U43+Q44*U44+Q45*U45+Q46*U46+Q47*U47</f>
        <v>16.549887585342663</v>
      </c>
      <c r="S56" s="68"/>
      <c r="T56" s="69">
        <f>S15*U15+S16*U16+S17*U17+S18*U18+S19*U19+S20*U20+S21*U21+S22*U22+S24*U24+S25*U25+S26*U26+S33*U33+S34*U34+S35*U35+S32*U32+S39*U39+S38*U38+S40*U40+S41*U41+S43*U43+S44*U44+S45*U45+S46*U46+S47*U47</f>
        <v>18.391404091946669</v>
      </c>
      <c r="V56" s="22" t="s">
        <v>30</v>
      </c>
      <c r="W56" s="97">
        <f>1/(1-W18-W19)</f>
        <v>12.794948864711293</v>
      </c>
      <c r="Y56" s="18"/>
      <c r="AA56" s="23" t="s">
        <v>165</v>
      </c>
      <c r="AB56" s="87">
        <f t="shared" ref="AB56:AQ56" si="21">SUM(AB20:AB54)</f>
        <v>1.6500000000000002E-3</v>
      </c>
      <c r="AC56" s="88">
        <f t="shared" si="21"/>
        <v>1.6300000000000002E-3</v>
      </c>
      <c r="AD56" s="87">
        <f t="shared" si="21"/>
        <v>1.6399999999999997E-3</v>
      </c>
      <c r="AE56" s="88">
        <f t="shared" si="21"/>
        <v>1.58E-3</v>
      </c>
      <c r="AF56" s="87">
        <f t="shared" si="21"/>
        <v>1.65E-3</v>
      </c>
      <c r="AG56" s="88">
        <f t="shared" si="21"/>
        <v>1.5600000000000004E-3</v>
      </c>
      <c r="AH56" s="87">
        <f t="shared" si="21"/>
        <v>1.56E-3</v>
      </c>
      <c r="AI56" s="88">
        <f t="shared" si="21"/>
        <v>1.5400000000000004E-3</v>
      </c>
      <c r="AJ56" s="87">
        <f t="shared" si="21"/>
        <v>1.57E-3</v>
      </c>
      <c r="AK56" s="88">
        <f t="shared" si="21"/>
        <v>1.5799999999999998E-3</v>
      </c>
      <c r="AL56" s="87">
        <f t="shared" si="21"/>
        <v>1.4700000000000002E-3</v>
      </c>
      <c r="AM56" s="88">
        <f t="shared" si="21"/>
        <v>1.5900000000000005E-3</v>
      </c>
      <c r="AN56" s="87">
        <f t="shared" si="21"/>
        <v>1.4900000000000002E-3</v>
      </c>
      <c r="AO56" s="88">
        <f t="shared" si="21"/>
        <v>3.3069999999999996E-3</v>
      </c>
      <c r="AP56" s="87">
        <f t="shared" si="21"/>
        <v>1.5100000000000001E-3</v>
      </c>
      <c r="AQ56" s="88">
        <f t="shared" si="21"/>
        <v>1.48E-3</v>
      </c>
      <c r="AT56" s="23" t="s">
        <v>165</v>
      </c>
      <c r="AU56" s="68"/>
      <c r="AV56" s="69"/>
      <c r="AW56" s="68"/>
      <c r="AX56" s="69"/>
      <c r="AY56" s="68"/>
      <c r="AZ56" s="69"/>
      <c r="BA56" s="68"/>
      <c r="BB56" s="69"/>
      <c r="BC56" s="68"/>
      <c r="BD56" s="69"/>
      <c r="BE56" s="68"/>
      <c r="BF56" s="69"/>
      <c r="BG56" s="68"/>
      <c r="BH56" s="69"/>
      <c r="BI56" s="68"/>
      <c r="BJ56" s="69"/>
      <c r="BL56" s="68"/>
      <c r="BM56" s="69"/>
    </row>
    <row r="57" spans="1:65" ht="15" thickBot="1" x14ac:dyDescent="0.4">
      <c r="B57" s="27" t="s">
        <v>166</v>
      </c>
      <c r="C57" s="70"/>
      <c r="D57" s="71"/>
      <c r="E57" s="70"/>
      <c r="F57" s="71"/>
      <c r="G57" s="70"/>
      <c r="H57" s="71"/>
      <c r="I57" s="70"/>
      <c r="J57" s="71"/>
      <c r="K57" s="70"/>
      <c r="L57" s="71"/>
      <c r="M57" s="70"/>
      <c r="N57" s="71"/>
      <c r="O57" s="70"/>
      <c r="P57" s="71"/>
      <c r="Q57" s="70"/>
      <c r="R57" s="71"/>
      <c r="S57" s="70"/>
      <c r="T57" s="71"/>
      <c r="Y57" s="18"/>
      <c r="AA57" s="27" t="s">
        <v>166</v>
      </c>
      <c r="AB57" s="68"/>
      <c r="AC57" s="69"/>
      <c r="AT57" s="27" t="s">
        <v>166</v>
      </c>
      <c r="AU57" s="70"/>
      <c r="AV57" s="71"/>
      <c r="AW57" s="70"/>
      <c r="AX57" s="71"/>
      <c r="AY57" s="70"/>
      <c r="AZ57" s="71"/>
      <c r="BA57" s="70"/>
      <c r="BB57" s="71"/>
      <c r="BC57" s="70"/>
      <c r="BD57" s="71"/>
      <c r="BE57" s="70"/>
      <c r="BF57" s="71"/>
      <c r="BG57" s="70"/>
      <c r="BH57" s="71"/>
      <c r="BI57" s="70"/>
      <c r="BJ57" s="71"/>
      <c r="BL57" s="70"/>
      <c r="BM57" s="71"/>
    </row>
    <row r="58" spans="1:65" ht="15" thickBot="1" x14ac:dyDescent="0.4">
      <c r="AB58" s="70"/>
      <c r="AC58" s="71"/>
    </row>
  </sheetData>
  <mergeCells count="162">
    <mergeCell ref="S11:T11"/>
    <mergeCell ref="C11:D11"/>
    <mergeCell ref="E11:F11"/>
    <mergeCell ref="G11:H11"/>
    <mergeCell ref="I11:J11"/>
    <mergeCell ref="K11:L11"/>
    <mergeCell ref="M11:N11"/>
    <mergeCell ref="Q8:R8"/>
    <mergeCell ref="Q9:R9"/>
    <mergeCell ref="Q10:R10"/>
    <mergeCell ref="Q11:R11"/>
    <mergeCell ref="O11:P11"/>
    <mergeCell ref="O9:P9"/>
    <mergeCell ref="S9:T9"/>
    <mergeCell ref="C10:D10"/>
    <mergeCell ref="E10:F10"/>
    <mergeCell ref="G10:H10"/>
    <mergeCell ref="I10:J10"/>
    <mergeCell ref="K10:L10"/>
    <mergeCell ref="M10:N10"/>
    <mergeCell ref="O10:P10"/>
    <mergeCell ref="S10:T10"/>
    <mergeCell ref="C9:D9"/>
    <mergeCell ref="E9:F9"/>
    <mergeCell ref="G9:H9"/>
    <mergeCell ref="I9:J9"/>
    <mergeCell ref="K9:L9"/>
    <mergeCell ref="M9:N9"/>
    <mergeCell ref="O7:P7"/>
    <mergeCell ref="S7:T7"/>
    <mergeCell ref="C8:D8"/>
    <mergeCell ref="E8:F8"/>
    <mergeCell ref="G8:H8"/>
    <mergeCell ref="I8:J8"/>
    <mergeCell ref="K8:L8"/>
    <mergeCell ref="M8:N8"/>
    <mergeCell ref="O8:P8"/>
    <mergeCell ref="S8:T8"/>
    <mergeCell ref="C7:D7"/>
    <mergeCell ref="E7:F7"/>
    <mergeCell ref="G7:H7"/>
    <mergeCell ref="I7:J7"/>
    <mergeCell ref="K7:L7"/>
    <mergeCell ref="M7:N7"/>
    <mergeCell ref="Q7:R7"/>
    <mergeCell ref="O5:P5"/>
    <mergeCell ref="S5:T5"/>
    <mergeCell ref="C6:D6"/>
    <mergeCell ref="E6:F6"/>
    <mergeCell ref="G6:H6"/>
    <mergeCell ref="I6:J6"/>
    <mergeCell ref="K6:L6"/>
    <mergeCell ref="M6:N6"/>
    <mergeCell ref="O6:P6"/>
    <mergeCell ref="S6:T6"/>
    <mergeCell ref="C5:D5"/>
    <mergeCell ref="E5:F5"/>
    <mergeCell ref="G5:H5"/>
    <mergeCell ref="I5:J5"/>
    <mergeCell ref="K5:L5"/>
    <mergeCell ref="M5:N5"/>
    <mergeCell ref="Q5:R5"/>
    <mergeCell ref="Q6:R6"/>
    <mergeCell ref="O3:P3"/>
    <mergeCell ref="S3:T3"/>
    <mergeCell ref="C4:D4"/>
    <mergeCell ref="E4:F4"/>
    <mergeCell ref="G4:H4"/>
    <mergeCell ref="I4:J4"/>
    <mergeCell ref="K4:L4"/>
    <mergeCell ref="M4:N4"/>
    <mergeCell ref="O4:P4"/>
    <mergeCell ref="S4:T4"/>
    <mergeCell ref="C3:D3"/>
    <mergeCell ref="E3:F3"/>
    <mergeCell ref="G3:H3"/>
    <mergeCell ref="I3:J3"/>
    <mergeCell ref="K3:L3"/>
    <mergeCell ref="M3:N3"/>
    <mergeCell ref="Q3:R3"/>
    <mergeCell ref="Q4:R4"/>
    <mergeCell ref="BE3:BF3"/>
    <mergeCell ref="BG3:BH3"/>
    <mergeCell ref="BI3:BJ3"/>
    <mergeCell ref="BL3:BM3"/>
    <mergeCell ref="AU4:AV4"/>
    <mergeCell ref="AW4:AX4"/>
    <mergeCell ref="AY4:AZ4"/>
    <mergeCell ref="BA4:BB4"/>
    <mergeCell ref="BC4:BD4"/>
    <mergeCell ref="BE4:BF4"/>
    <mergeCell ref="BG4:BH4"/>
    <mergeCell ref="BI4:BJ4"/>
    <mergeCell ref="BL4:BM4"/>
    <mergeCell ref="AU3:AV3"/>
    <mergeCell ref="AW3:AX3"/>
    <mergeCell ref="AY3:AZ3"/>
    <mergeCell ref="BA3:BB3"/>
    <mergeCell ref="BC3:BD3"/>
    <mergeCell ref="BE5:BF5"/>
    <mergeCell ref="BG5:BH5"/>
    <mergeCell ref="BI5:BJ5"/>
    <mergeCell ref="BL5:BM5"/>
    <mergeCell ref="AU6:AV6"/>
    <mergeCell ref="AW6:AX6"/>
    <mergeCell ref="AY6:AZ6"/>
    <mergeCell ref="BA6:BB6"/>
    <mergeCell ref="BC6:BD6"/>
    <mergeCell ref="BE6:BF6"/>
    <mergeCell ref="BG6:BH6"/>
    <mergeCell ref="BI6:BJ6"/>
    <mergeCell ref="BL6:BM6"/>
    <mergeCell ref="AU5:AV5"/>
    <mergeCell ref="AW5:AX5"/>
    <mergeCell ref="AY5:AZ5"/>
    <mergeCell ref="BA5:BB5"/>
    <mergeCell ref="BC5:BD5"/>
    <mergeCell ref="BE7:BF7"/>
    <mergeCell ref="BG7:BH7"/>
    <mergeCell ref="BI7:BJ7"/>
    <mergeCell ref="BL7:BM7"/>
    <mergeCell ref="AU8:AV8"/>
    <mergeCell ref="AW8:AX8"/>
    <mergeCell ref="AY8:AZ8"/>
    <mergeCell ref="BA8:BB8"/>
    <mergeCell ref="BC8:BD8"/>
    <mergeCell ref="BE8:BF8"/>
    <mergeCell ref="BG8:BH8"/>
    <mergeCell ref="BI8:BJ8"/>
    <mergeCell ref="BL8:BM8"/>
    <mergeCell ref="AU7:AV7"/>
    <mergeCell ref="AW7:AX7"/>
    <mergeCell ref="AY7:AZ7"/>
    <mergeCell ref="BA7:BB7"/>
    <mergeCell ref="BC7:BD7"/>
    <mergeCell ref="BE9:BF9"/>
    <mergeCell ref="BG9:BH9"/>
    <mergeCell ref="BI9:BJ9"/>
    <mergeCell ref="BL9:BM9"/>
    <mergeCell ref="AU10:AV10"/>
    <mergeCell ref="AW10:AX10"/>
    <mergeCell ref="AY10:AZ10"/>
    <mergeCell ref="BA10:BB10"/>
    <mergeCell ref="BC10:BD10"/>
    <mergeCell ref="BE10:BF10"/>
    <mergeCell ref="BG10:BH10"/>
    <mergeCell ref="BI10:BJ10"/>
    <mergeCell ref="BL10:BM10"/>
    <mergeCell ref="AU9:AV9"/>
    <mergeCell ref="AW9:AX9"/>
    <mergeCell ref="AY9:AZ9"/>
    <mergeCell ref="BA9:BB9"/>
    <mergeCell ref="BC9:BD9"/>
    <mergeCell ref="BE11:BF11"/>
    <mergeCell ref="BG11:BH11"/>
    <mergeCell ref="BI11:BJ11"/>
    <mergeCell ref="BL11:BM11"/>
    <mergeCell ref="AU11:AV11"/>
    <mergeCell ref="AW11:AX11"/>
    <mergeCell ref="AY11:AZ11"/>
    <mergeCell ref="BA11:BB11"/>
    <mergeCell ref="BC11:BD1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E71"/>
  <sheetViews>
    <sheetView topLeftCell="A10" zoomScale="80" zoomScaleNormal="80" workbookViewId="0">
      <pane xSplit="4" ySplit="3" topLeftCell="BW13" activePane="bottomRight" state="frozen"/>
      <selection activeCell="A10" sqref="A10"/>
      <selection pane="topRight" activeCell="E10" sqref="E10"/>
      <selection pane="bottomLeft" activeCell="A13" sqref="A13"/>
      <selection pane="bottomRight" activeCell="CA10" sqref="CA10"/>
    </sheetView>
  </sheetViews>
  <sheetFormatPr defaultRowHeight="14.5" x14ac:dyDescent="0.35"/>
  <cols>
    <col min="1" max="1" width="9" style="140" bestFit="1" customWidth="1"/>
    <col min="2" max="2" width="4.7265625" style="17" customWidth="1"/>
    <col min="3" max="3" width="4.26953125" style="10" customWidth="1"/>
    <col min="4" max="4" width="23.54296875" style="17" customWidth="1"/>
    <col min="5" max="6" width="10" style="17" customWidth="1"/>
    <col min="7" max="7" width="10.453125" customWidth="1"/>
    <col min="21" max="21" width="10.26953125" customWidth="1"/>
    <col min="23" max="23" width="10.54296875" customWidth="1"/>
    <col min="25" max="25" width="10.54296875" customWidth="1"/>
    <col min="27" max="27" width="10.1796875" customWidth="1"/>
    <col min="29" max="29" width="10.7265625" customWidth="1"/>
    <col min="31" max="40" width="10" style="17" customWidth="1"/>
    <col min="41" max="41" width="10.1796875" customWidth="1"/>
    <col min="43" max="43" width="11" customWidth="1"/>
    <col min="45" max="45" width="10.7265625" customWidth="1"/>
    <col min="47" max="47" width="10.81640625" customWidth="1"/>
    <col min="49" max="49" width="11" customWidth="1"/>
    <col min="73" max="73" width="11.7265625" customWidth="1"/>
    <col min="75" max="75" width="12.54296875" style="17" customWidth="1"/>
    <col min="76" max="76" width="14.26953125" style="17" customWidth="1"/>
    <col min="77" max="77" width="10.54296875" customWidth="1"/>
    <col min="81" max="81" width="11.1796875" customWidth="1"/>
    <col min="82" max="82" width="10.26953125" style="17" customWidth="1"/>
    <col min="83" max="83" width="9.1796875" style="17"/>
    <col min="84" max="84" width="10.54296875" style="17" customWidth="1"/>
    <col min="85" max="85" width="9.1796875" style="17"/>
    <col min="86" max="86" width="10.54296875" style="17" customWidth="1"/>
    <col min="87" max="87" width="9.1796875" style="17"/>
    <col min="88" max="88" width="10.1796875" style="17" customWidth="1"/>
    <col min="89" max="89" width="9.1796875" style="17"/>
    <col min="90" max="90" width="10.7265625" style="17" customWidth="1"/>
    <col min="91" max="91" width="9.1796875" style="17"/>
    <col min="92" max="101" width="10" style="17" customWidth="1"/>
    <col min="102" max="102" width="10.1796875" style="17" customWidth="1"/>
    <col min="103" max="103" width="9.1796875" style="17"/>
    <col min="104" max="104" width="11" style="17" customWidth="1"/>
    <col min="105" max="105" width="9.1796875" style="17"/>
    <col min="106" max="106" width="10.7265625" style="17" customWidth="1"/>
    <col min="107" max="107" width="9.1796875" style="17"/>
    <col min="108" max="108" width="10.81640625" style="17" customWidth="1"/>
    <col min="109" max="109" width="9.1796875" style="17"/>
    <col min="110" max="110" width="11" style="17" customWidth="1"/>
    <col min="111" max="135" width="9.1796875" style="17"/>
  </cols>
  <sheetData>
    <row r="1" spans="1:135" ht="15" customHeight="1" x14ac:dyDescent="0.35">
      <c r="C1" s="129"/>
      <c r="D1" s="121" t="s">
        <v>88</v>
      </c>
      <c r="E1" s="394" t="s">
        <v>215</v>
      </c>
      <c r="F1" s="395"/>
      <c r="G1" s="394" t="s">
        <v>215</v>
      </c>
      <c r="H1" s="395"/>
      <c r="I1" s="394" t="s">
        <v>257</v>
      </c>
      <c r="J1" s="395"/>
      <c r="K1" s="394" t="s">
        <v>261</v>
      </c>
      <c r="L1" s="395"/>
      <c r="M1" s="394" t="s">
        <v>261</v>
      </c>
      <c r="N1" s="395"/>
      <c r="O1" s="394" t="s">
        <v>282</v>
      </c>
      <c r="P1" s="395"/>
      <c r="Q1" s="394" t="s">
        <v>282</v>
      </c>
      <c r="R1" s="395"/>
      <c r="S1" s="394" t="s">
        <v>282</v>
      </c>
      <c r="T1" s="395"/>
      <c r="U1" s="444" t="s">
        <v>190</v>
      </c>
      <c r="V1" s="445"/>
      <c r="W1" s="394" t="s">
        <v>190</v>
      </c>
      <c r="X1" s="395"/>
      <c r="Y1" s="394" t="s">
        <v>190</v>
      </c>
      <c r="Z1" s="395"/>
      <c r="AA1" s="394" t="s">
        <v>190</v>
      </c>
      <c r="AB1" s="395"/>
      <c r="AC1" s="394" t="s">
        <v>190</v>
      </c>
      <c r="AD1" s="395"/>
      <c r="AE1" s="394" t="s">
        <v>215</v>
      </c>
      <c r="AF1" s="395"/>
      <c r="AG1" s="394" t="s">
        <v>215</v>
      </c>
      <c r="AH1" s="395"/>
      <c r="AI1" s="394" t="s">
        <v>215</v>
      </c>
      <c r="AJ1" s="395"/>
      <c r="AK1" s="394" t="s">
        <v>215</v>
      </c>
      <c r="AL1" s="395"/>
      <c r="AM1" s="394" t="s">
        <v>215</v>
      </c>
      <c r="AN1" s="395"/>
      <c r="AO1" s="394" t="s">
        <v>215</v>
      </c>
      <c r="AP1" s="395"/>
      <c r="AQ1" s="394" t="s">
        <v>215</v>
      </c>
      <c r="AR1" s="395"/>
      <c r="AS1" s="394" t="s">
        <v>215</v>
      </c>
      <c r="AT1" s="395"/>
      <c r="AU1" s="394" t="s">
        <v>215</v>
      </c>
      <c r="AV1" s="395"/>
      <c r="AW1" s="394" t="s">
        <v>215</v>
      </c>
      <c r="AX1" s="395"/>
      <c r="AY1" s="442" t="s">
        <v>240</v>
      </c>
      <c r="AZ1" s="443"/>
      <c r="BA1" s="442" t="s">
        <v>240</v>
      </c>
      <c r="BB1" s="443"/>
      <c r="BC1" s="394" t="s">
        <v>240</v>
      </c>
      <c r="BD1" s="395"/>
      <c r="BE1" s="394" t="s">
        <v>240</v>
      </c>
      <c r="BF1" s="395"/>
      <c r="BG1" s="394" t="s">
        <v>240</v>
      </c>
      <c r="BH1" s="395"/>
      <c r="BI1" s="394" t="s">
        <v>268</v>
      </c>
      <c r="BJ1" s="395"/>
      <c r="BK1" s="394" t="s">
        <v>268</v>
      </c>
      <c r="BL1" s="395"/>
      <c r="BM1" s="394" t="s">
        <v>268</v>
      </c>
      <c r="BN1" s="395"/>
      <c r="BO1" s="394" t="s">
        <v>268</v>
      </c>
      <c r="BP1" s="395"/>
      <c r="BQ1" s="394" t="s">
        <v>268</v>
      </c>
      <c r="BR1" s="395"/>
      <c r="BS1" s="394" t="s">
        <v>268</v>
      </c>
      <c r="BT1" s="395"/>
      <c r="BU1" s="442" t="s">
        <v>292</v>
      </c>
      <c r="BV1" s="443"/>
      <c r="BW1" s="159"/>
      <c r="BX1" s="159"/>
      <c r="CD1" s="444" t="s">
        <v>190</v>
      </c>
      <c r="CE1" s="445"/>
      <c r="CF1" s="394" t="s">
        <v>190</v>
      </c>
      <c r="CG1" s="395"/>
      <c r="CH1" s="394" t="s">
        <v>190</v>
      </c>
      <c r="CI1" s="395"/>
      <c r="CJ1" s="394" t="s">
        <v>190</v>
      </c>
      <c r="CK1" s="395"/>
      <c r="CL1" s="394" t="s">
        <v>190</v>
      </c>
      <c r="CM1" s="395"/>
      <c r="CN1" s="394" t="s">
        <v>215</v>
      </c>
      <c r="CO1" s="395"/>
      <c r="CP1" s="394" t="s">
        <v>215</v>
      </c>
      <c r="CQ1" s="395"/>
      <c r="CR1" s="394" t="s">
        <v>215</v>
      </c>
      <c r="CS1" s="395"/>
      <c r="CT1" s="394" t="s">
        <v>215</v>
      </c>
      <c r="CU1" s="395"/>
      <c r="CV1" s="394" t="s">
        <v>215</v>
      </c>
      <c r="CW1" s="395"/>
      <c r="CX1" s="394" t="s">
        <v>215</v>
      </c>
      <c r="CY1" s="395"/>
      <c r="CZ1" s="394" t="s">
        <v>215</v>
      </c>
      <c r="DA1" s="395"/>
      <c r="DB1" s="394" t="s">
        <v>215</v>
      </c>
      <c r="DC1" s="395"/>
      <c r="DD1" s="394" t="s">
        <v>215</v>
      </c>
      <c r="DE1" s="395"/>
      <c r="DF1" s="394" t="s">
        <v>215</v>
      </c>
      <c r="DG1" s="395"/>
      <c r="DH1" s="442" t="s">
        <v>240</v>
      </c>
      <c r="DI1" s="443"/>
      <c r="DJ1" s="442" t="s">
        <v>240</v>
      </c>
      <c r="DK1" s="443"/>
      <c r="DL1" s="394" t="s">
        <v>240</v>
      </c>
      <c r="DM1" s="395"/>
      <c r="DN1" s="394" t="s">
        <v>240</v>
      </c>
      <c r="DO1" s="395"/>
      <c r="DP1" s="394" t="s">
        <v>240</v>
      </c>
      <c r="DQ1" s="395"/>
      <c r="DR1" s="394" t="s">
        <v>268</v>
      </c>
      <c r="DS1" s="395"/>
      <c r="DT1" s="394" t="s">
        <v>268</v>
      </c>
      <c r="DU1" s="395"/>
      <c r="DV1" s="394" t="s">
        <v>268</v>
      </c>
      <c r="DW1" s="395"/>
      <c r="DX1" s="394" t="s">
        <v>268</v>
      </c>
      <c r="DY1" s="395"/>
      <c r="DZ1" s="394" t="s">
        <v>268</v>
      </c>
      <c r="EA1" s="395"/>
      <c r="EB1" s="394" t="s">
        <v>268</v>
      </c>
      <c r="EC1" s="395"/>
      <c r="ED1" s="442" t="s">
        <v>292</v>
      </c>
      <c r="EE1" s="443"/>
    </row>
    <row r="2" spans="1:135" x14ac:dyDescent="0.35">
      <c r="C2" s="129"/>
      <c r="D2" s="122" t="s">
        <v>92</v>
      </c>
      <c r="E2" s="388" t="s">
        <v>191</v>
      </c>
      <c r="F2" s="389"/>
      <c r="G2" s="388" t="s">
        <v>191</v>
      </c>
      <c r="H2" s="389"/>
      <c r="I2" s="388" t="s">
        <v>191</v>
      </c>
      <c r="J2" s="389"/>
      <c r="K2" s="388" t="s">
        <v>191</v>
      </c>
      <c r="L2" s="389"/>
      <c r="M2" s="388" t="s">
        <v>191</v>
      </c>
      <c r="N2" s="389"/>
      <c r="O2" s="388" t="s">
        <v>191</v>
      </c>
      <c r="P2" s="389"/>
      <c r="Q2" s="388" t="s">
        <v>191</v>
      </c>
      <c r="R2" s="389"/>
      <c r="S2" s="388" t="s">
        <v>191</v>
      </c>
      <c r="T2" s="389"/>
      <c r="U2" s="440" t="s">
        <v>191</v>
      </c>
      <c r="V2" s="441"/>
      <c r="W2" s="388" t="s">
        <v>191</v>
      </c>
      <c r="X2" s="389"/>
      <c r="Y2" s="388" t="s">
        <v>191</v>
      </c>
      <c r="Z2" s="389"/>
      <c r="AA2" s="388" t="s">
        <v>191</v>
      </c>
      <c r="AB2" s="389"/>
      <c r="AC2" s="388" t="s">
        <v>191</v>
      </c>
      <c r="AD2" s="389"/>
      <c r="AE2" s="388" t="s">
        <v>191</v>
      </c>
      <c r="AF2" s="389"/>
      <c r="AG2" s="388" t="s">
        <v>191</v>
      </c>
      <c r="AH2" s="389"/>
      <c r="AI2" s="388" t="s">
        <v>191</v>
      </c>
      <c r="AJ2" s="389"/>
      <c r="AK2" s="388" t="s">
        <v>191</v>
      </c>
      <c r="AL2" s="389"/>
      <c r="AM2" s="388" t="s">
        <v>191</v>
      </c>
      <c r="AN2" s="389"/>
      <c r="AO2" s="388" t="s">
        <v>191</v>
      </c>
      <c r="AP2" s="389"/>
      <c r="AQ2" s="388" t="s">
        <v>191</v>
      </c>
      <c r="AR2" s="389"/>
      <c r="AS2" s="388" t="s">
        <v>191</v>
      </c>
      <c r="AT2" s="389"/>
      <c r="AU2" s="388" t="s">
        <v>191</v>
      </c>
      <c r="AV2" s="389"/>
      <c r="AW2" s="388" t="s">
        <v>191</v>
      </c>
      <c r="AX2" s="389"/>
      <c r="AY2" s="436" t="s">
        <v>191</v>
      </c>
      <c r="AZ2" s="437"/>
      <c r="BA2" s="436" t="s">
        <v>191</v>
      </c>
      <c r="BB2" s="437"/>
      <c r="BC2" s="388" t="s">
        <v>191</v>
      </c>
      <c r="BD2" s="389"/>
      <c r="BE2" s="388" t="s">
        <v>191</v>
      </c>
      <c r="BF2" s="389"/>
      <c r="BG2" s="388" t="s">
        <v>191</v>
      </c>
      <c r="BH2" s="389"/>
      <c r="BI2" s="388" t="s">
        <v>191</v>
      </c>
      <c r="BJ2" s="389"/>
      <c r="BK2" s="388" t="s">
        <v>191</v>
      </c>
      <c r="BL2" s="389"/>
      <c r="BM2" s="388" t="s">
        <v>191</v>
      </c>
      <c r="BN2" s="389"/>
      <c r="BO2" s="388" t="s">
        <v>191</v>
      </c>
      <c r="BP2" s="389"/>
      <c r="BQ2" s="388" t="s">
        <v>191</v>
      </c>
      <c r="BR2" s="389"/>
      <c r="BS2" s="388" t="s">
        <v>191</v>
      </c>
      <c r="BT2" s="389"/>
      <c r="BU2" s="436" t="s">
        <v>191</v>
      </c>
      <c r="BV2" s="437"/>
      <c r="BW2" s="159"/>
      <c r="BX2" s="159"/>
      <c r="CD2" s="440" t="s">
        <v>191</v>
      </c>
      <c r="CE2" s="441"/>
      <c r="CF2" s="388" t="s">
        <v>191</v>
      </c>
      <c r="CG2" s="389"/>
      <c r="CH2" s="388" t="s">
        <v>191</v>
      </c>
      <c r="CI2" s="389"/>
      <c r="CJ2" s="388" t="s">
        <v>191</v>
      </c>
      <c r="CK2" s="389"/>
      <c r="CL2" s="388" t="s">
        <v>191</v>
      </c>
      <c r="CM2" s="389"/>
      <c r="CN2" s="388" t="s">
        <v>191</v>
      </c>
      <c r="CO2" s="389"/>
      <c r="CP2" s="388" t="s">
        <v>191</v>
      </c>
      <c r="CQ2" s="389"/>
      <c r="CR2" s="388" t="s">
        <v>191</v>
      </c>
      <c r="CS2" s="389"/>
      <c r="CT2" s="388" t="s">
        <v>191</v>
      </c>
      <c r="CU2" s="389"/>
      <c r="CV2" s="388" t="s">
        <v>191</v>
      </c>
      <c r="CW2" s="389"/>
      <c r="CX2" s="388" t="s">
        <v>191</v>
      </c>
      <c r="CY2" s="389"/>
      <c r="CZ2" s="388" t="s">
        <v>191</v>
      </c>
      <c r="DA2" s="389"/>
      <c r="DB2" s="388" t="s">
        <v>191</v>
      </c>
      <c r="DC2" s="389"/>
      <c r="DD2" s="388" t="s">
        <v>191</v>
      </c>
      <c r="DE2" s="389"/>
      <c r="DF2" s="388" t="s">
        <v>191</v>
      </c>
      <c r="DG2" s="389"/>
      <c r="DH2" s="436" t="s">
        <v>191</v>
      </c>
      <c r="DI2" s="437"/>
      <c r="DJ2" s="436" t="s">
        <v>191</v>
      </c>
      <c r="DK2" s="437"/>
      <c r="DL2" s="388" t="s">
        <v>191</v>
      </c>
      <c r="DM2" s="389"/>
      <c r="DN2" s="388" t="s">
        <v>191</v>
      </c>
      <c r="DO2" s="389"/>
      <c r="DP2" s="388" t="s">
        <v>191</v>
      </c>
      <c r="DQ2" s="389"/>
      <c r="DR2" s="388" t="s">
        <v>191</v>
      </c>
      <c r="DS2" s="389"/>
      <c r="DT2" s="388" t="s">
        <v>191</v>
      </c>
      <c r="DU2" s="389"/>
      <c r="DV2" s="388" t="s">
        <v>191</v>
      </c>
      <c r="DW2" s="389"/>
      <c r="DX2" s="388" t="s">
        <v>191</v>
      </c>
      <c r="DY2" s="389"/>
      <c r="DZ2" s="388" t="s">
        <v>191</v>
      </c>
      <c r="EA2" s="389"/>
      <c r="EB2" s="388" t="s">
        <v>191</v>
      </c>
      <c r="EC2" s="389"/>
      <c r="ED2" s="436" t="s">
        <v>191</v>
      </c>
      <c r="EE2" s="437"/>
    </row>
    <row r="3" spans="1:135" ht="15" customHeight="1" x14ac:dyDescent="0.35">
      <c r="C3" s="129"/>
      <c r="D3" s="122" t="s">
        <v>94</v>
      </c>
      <c r="E3" s="388" t="s">
        <v>192</v>
      </c>
      <c r="F3" s="389"/>
      <c r="G3" s="388" t="s">
        <v>192</v>
      </c>
      <c r="H3" s="389"/>
      <c r="I3" s="388" t="s">
        <v>192</v>
      </c>
      <c r="J3" s="389"/>
      <c r="K3" s="388" t="s">
        <v>192</v>
      </c>
      <c r="L3" s="389"/>
      <c r="M3" s="388" t="s">
        <v>192</v>
      </c>
      <c r="N3" s="389"/>
      <c r="O3" s="388" t="s">
        <v>192</v>
      </c>
      <c r="P3" s="389"/>
      <c r="Q3" s="388" t="s">
        <v>192</v>
      </c>
      <c r="R3" s="389"/>
      <c r="S3" s="388" t="s">
        <v>192</v>
      </c>
      <c r="T3" s="389"/>
      <c r="U3" s="440" t="s">
        <v>192</v>
      </c>
      <c r="V3" s="441"/>
      <c r="W3" s="388" t="s">
        <v>192</v>
      </c>
      <c r="X3" s="389"/>
      <c r="Y3" s="388" t="s">
        <v>192</v>
      </c>
      <c r="Z3" s="389"/>
      <c r="AA3" s="388" t="s">
        <v>192</v>
      </c>
      <c r="AB3" s="389"/>
      <c r="AC3" s="388" t="s">
        <v>192</v>
      </c>
      <c r="AD3" s="389"/>
      <c r="AE3" s="388" t="s">
        <v>192</v>
      </c>
      <c r="AF3" s="389"/>
      <c r="AG3" s="388" t="s">
        <v>192</v>
      </c>
      <c r="AH3" s="389"/>
      <c r="AI3" s="388" t="s">
        <v>192</v>
      </c>
      <c r="AJ3" s="389"/>
      <c r="AK3" s="388" t="s">
        <v>192</v>
      </c>
      <c r="AL3" s="389"/>
      <c r="AM3" s="388" t="s">
        <v>192</v>
      </c>
      <c r="AN3" s="389"/>
      <c r="AO3" s="388" t="s">
        <v>192</v>
      </c>
      <c r="AP3" s="389"/>
      <c r="AQ3" s="388" t="s">
        <v>192</v>
      </c>
      <c r="AR3" s="389"/>
      <c r="AS3" s="388" t="s">
        <v>192</v>
      </c>
      <c r="AT3" s="389"/>
      <c r="AU3" s="388" t="s">
        <v>192</v>
      </c>
      <c r="AV3" s="389"/>
      <c r="AW3" s="388" t="s">
        <v>192</v>
      </c>
      <c r="AX3" s="389"/>
      <c r="AY3" s="436" t="s">
        <v>241</v>
      </c>
      <c r="AZ3" s="437"/>
      <c r="BA3" s="436" t="s">
        <v>241</v>
      </c>
      <c r="BB3" s="437"/>
      <c r="BC3" s="388" t="s">
        <v>241</v>
      </c>
      <c r="BD3" s="389"/>
      <c r="BE3" s="388" t="s">
        <v>241</v>
      </c>
      <c r="BF3" s="389"/>
      <c r="BG3" s="388" t="s">
        <v>241</v>
      </c>
      <c r="BH3" s="389"/>
      <c r="BI3" s="388" t="s">
        <v>192</v>
      </c>
      <c r="BJ3" s="389"/>
      <c r="BK3" s="388" t="s">
        <v>192</v>
      </c>
      <c r="BL3" s="389"/>
      <c r="BM3" s="388" t="s">
        <v>192</v>
      </c>
      <c r="BN3" s="389"/>
      <c r="BO3" s="388" t="s">
        <v>192</v>
      </c>
      <c r="BP3" s="389"/>
      <c r="BQ3" s="388" t="s">
        <v>192</v>
      </c>
      <c r="BR3" s="389"/>
      <c r="BS3" s="388" t="s">
        <v>192</v>
      </c>
      <c r="BT3" s="389"/>
      <c r="BU3" s="436" t="s">
        <v>241</v>
      </c>
      <c r="BV3" s="437"/>
      <c r="BW3" s="159"/>
      <c r="BX3" s="159"/>
      <c r="CD3" s="440" t="s">
        <v>192</v>
      </c>
      <c r="CE3" s="441"/>
      <c r="CF3" s="388" t="s">
        <v>192</v>
      </c>
      <c r="CG3" s="389"/>
      <c r="CH3" s="388" t="s">
        <v>192</v>
      </c>
      <c r="CI3" s="389"/>
      <c r="CJ3" s="388" t="s">
        <v>192</v>
      </c>
      <c r="CK3" s="389"/>
      <c r="CL3" s="388" t="s">
        <v>192</v>
      </c>
      <c r="CM3" s="389"/>
      <c r="CN3" s="388" t="s">
        <v>192</v>
      </c>
      <c r="CO3" s="389"/>
      <c r="CP3" s="388" t="s">
        <v>192</v>
      </c>
      <c r="CQ3" s="389"/>
      <c r="CR3" s="388" t="s">
        <v>192</v>
      </c>
      <c r="CS3" s="389"/>
      <c r="CT3" s="388" t="s">
        <v>192</v>
      </c>
      <c r="CU3" s="389"/>
      <c r="CV3" s="388" t="s">
        <v>192</v>
      </c>
      <c r="CW3" s="389"/>
      <c r="CX3" s="388" t="s">
        <v>192</v>
      </c>
      <c r="CY3" s="389"/>
      <c r="CZ3" s="388" t="s">
        <v>192</v>
      </c>
      <c r="DA3" s="389"/>
      <c r="DB3" s="388" t="s">
        <v>192</v>
      </c>
      <c r="DC3" s="389"/>
      <c r="DD3" s="388" t="s">
        <v>192</v>
      </c>
      <c r="DE3" s="389"/>
      <c r="DF3" s="388" t="s">
        <v>192</v>
      </c>
      <c r="DG3" s="389"/>
      <c r="DH3" s="436" t="s">
        <v>241</v>
      </c>
      <c r="DI3" s="437"/>
      <c r="DJ3" s="436" t="s">
        <v>241</v>
      </c>
      <c r="DK3" s="437"/>
      <c r="DL3" s="388" t="s">
        <v>241</v>
      </c>
      <c r="DM3" s="389"/>
      <c r="DN3" s="388" t="s">
        <v>241</v>
      </c>
      <c r="DO3" s="389"/>
      <c r="DP3" s="388" t="s">
        <v>241</v>
      </c>
      <c r="DQ3" s="389"/>
      <c r="DR3" s="388" t="s">
        <v>192</v>
      </c>
      <c r="DS3" s="389"/>
      <c r="DT3" s="388" t="s">
        <v>192</v>
      </c>
      <c r="DU3" s="389"/>
      <c r="DV3" s="388" t="s">
        <v>192</v>
      </c>
      <c r="DW3" s="389"/>
      <c r="DX3" s="388" t="s">
        <v>192</v>
      </c>
      <c r="DY3" s="389"/>
      <c r="DZ3" s="388" t="s">
        <v>192</v>
      </c>
      <c r="EA3" s="389"/>
      <c r="EB3" s="388" t="s">
        <v>192</v>
      </c>
      <c r="EC3" s="389"/>
      <c r="ED3" s="436" t="s">
        <v>241</v>
      </c>
      <c r="EE3" s="437"/>
    </row>
    <row r="4" spans="1:135" ht="15" customHeight="1" x14ac:dyDescent="0.35">
      <c r="C4" s="129"/>
      <c r="D4" s="123" t="s">
        <v>97</v>
      </c>
      <c r="E4" s="432" t="s">
        <v>216</v>
      </c>
      <c r="F4" s="433"/>
      <c r="G4" s="432" t="s">
        <v>228</v>
      </c>
      <c r="H4" s="433"/>
      <c r="I4" s="432" t="s">
        <v>258</v>
      </c>
      <c r="J4" s="433"/>
      <c r="K4" s="432" t="s">
        <v>262</v>
      </c>
      <c r="L4" s="433"/>
      <c r="M4" s="432" t="s">
        <v>265</v>
      </c>
      <c r="N4" s="433"/>
      <c r="O4" s="432" t="s">
        <v>283</v>
      </c>
      <c r="P4" s="433"/>
      <c r="Q4" s="432" t="s">
        <v>284</v>
      </c>
      <c r="R4" s="433"/>
      <c r="S4" s="432" t="s">
        <v>285</v>
      </c>
      <c r="T4" s="433"/>
      <c r="U4" s="438" t="s">
        <v>204</v>
      </c>
      <c r="V4" s="439"/>
      <c r="W4" s="432" t="s">
        <v>204</v>
      </c>
      <c r="X4" s="433"/>
      <c r="Y4" s="432" t="s">
        <v>204</v>
      </c>
      <c r="Z4" s="433"/>
      <c r="AA4" s="432" t="s">
        <v>204</v>
      </c>
      <c r="AB4" s="433"/>
      <c r="AC4" s="432" t="s">
        <v>204</v>
      </c>
      <c r="AD4" s="433"/>
      <c r="AE4" s="432" t="s">
        <v>216</v>
      </c>
      <c r="AF4" s="433"/>
      <c r="AG4" s="432" t="s">
        <v>216</v>
      </c>
      <c r="AH4" s="433"/>
      <c r="AI4" s="432" t="s">
        <v>216</v>
      </c>
      <c r="AJ4" s="433"/>
      <c r="AK4" s="432" t="s">
        <v>216</v>
      </c>
      <c r="AL4" s="433"/>
      <c r="AM4" s="432" t="s">
        <v>216</v>
      </c>
      <c r="AN4" s="433"/>
      <c r="AO4" s="432" t="s">
        <v>228</v>
      </c>
      <c r="AP4" s="433"/>
      <c r="AQ4" s="432" t="s">
        <v>228</v>
      </c>
      <c r="AR4" s="433"/>
      <c r="AS4" s="432" t="s">
        <v>228</v>
      </c>
      <c r="AT4" s="433"/>
      <c r="AU4" s="432" t="s">
        <v>228</v>
      </c>
      <c r="AV4" s="433"/>
      <c r="AW4" s="432" t="s">
        <v>228</v>
      </c>
      <c r="AX4" s="433"/>
      <c r="AY4" s="434" t="s">
        <v>242</v>
      </c>
      <c r="AZ4" s="435"/>
      <c r="BA4" s="434" t="s">
        <v>243</v>
      </c>
      <c r="BB4" s="435"/>
      <c r="BC4" s="432" t="s">
        <v>244</v>
      </c>
      <c r="BD4" s="433"/>
      <c r="BE4" s="432" t="s">
        <v>251</v>
      </c>
      <c r="BF4" s="433"/>
      <c r="BG4" s="432" t="s">
        <v>252</v>
      </c>
      <c r="BH4" s="433"/>
      <c r="BI4" s="432" t="s">
        <v>269</v>
      </c>
      <c r="BJ4" s="433"/>
      <c r="BK4" s="432" t="s">
        <v>269</v>
      </c>
      <c r="BL4" s="433"/>
      <c r="BM4" s="432" t="s">
        <v>269</v>
      </c>
      <c r="BN4" s="433"/>
      <c r="BO4" s="432" t="s">
        <v>269</v>
      </c>
      <c r="BP4" s="433"/>
      <c r="BQ4" s="432" t="s">
        <v>269</v>
      </c>
      <c r="BR4" s="433"/>
      <c r="BS4" s="432" t="s">
        <v>269</v>
      </c>
      <c r="BT4" s="433"/>
      <c r="BU4" s="434" t="s">
        <v>293</v>
      </c>
      <c r="BV4" s="435"/>
      <c r="BW4" s="159"/>
      <c r="BX4" s="159"/>
      <c r="CD4" s="438" t="s">
        <v>204</v>
      </c>
      <c r="CE4" s="439"/>
      <c r="CF4" s="432" t="s">
        <v>204</v>
      </c>
      <c r="CG4" s="433"/>
      <c r="CH4" s="432" t="s">
        <v>204</v>
      </c>
      <c r="CI4" s="433"/>
      <c r="CJ4" s="432" t="s">
        <v>204</v>
      </c>
      <c r="CK4" s="433"/>
      <c r="CL4" s="432" t="s">
        <v>204</v>
      </c>
      <c r="CM4" s="433"/>
      <c r="CN4" s="432" t="s">
        <v>216</v>
      </c>
      <c r="CO4" s="433"/>
      <c r="CP4" s="432" t="s">
        <v>216</v>
      </c>
      <c r="CQ4" s="433"/>
      <c r="CR4" s="432" t="s">
        <v>216</v>
      </c>
      <c r="CS4" s="433"/>
      <c r="CT4" s="432" t="s">
        <v>216</v>
      </c>
      <c r="CU4" s="433"/>
      <c r="CV4" s="432" t="s">
        <v>216</v>
      </c>
      <c r="CW4" s="433"/>
      <c r="CX4" s="432" t="s">
        <v>228</v>
      </c>
      <c r="CY4" s="433"/>
      <c r="CZ4" s="432" t="s">
        <v>228</v>
      </c>
      <c r="DA4" s="433"/>
      <c r="DB4" s="432" t="s">
        <v>228</v>
      </c>
      <c r="DC4" s="433"/>
      <c r="DD4" s="432" t="s">
        <v>228</v>
      </c>
      <c r="DE4" s="433"/>
      <c r="DF4" s="432" t="s">
        <v>228</v>
      </c>
      <c r="DG4" s="433"/>
      <c r="DH4" s="434" t="s">
        <v>242</v>
      </c>
      <c r="DI4" s="435"/>
      <c r="DJ4" s="434" t="s">
        <v>243</v>
      </c>
      <c r="DK4" s="435"/>
      <c r="DL4" s="432" t="s">
        <v>244</v>
      </c>
      <c r="DM4" s="433"/>
      <c r="DN4" s="432" t="s">
        <v>251</v>
      </c>
      <c r="DO4" s="433"/>
      <c r="DP4" s="432" t="s">
        <v>252</v>
      </c>
      <c r="DQ4" s="433"/>
      <c r="DR4" s="432" t="s">
        <v>269</v>
      </c>
      <c r="DS4" s="433"/>
      <c r="DT4" s="432" t="s">
        <v>269</v>
      </c>
      <c r="DU4" s="433"/>
      <c r="DV4" s="432" t="s">
        <v>269</v>
      </c>
      <c r="DW4" s="433"/>
      <c r="DX4" s="432" t="s">
        <v>269</v>
      </c>
      <c r="DY4" s="433"/>
      <c r="DZ4" s="432" t="s">
        <v>269</v>
      </c>
      <c r="EA4" s="433"/>
      <c r="EB4" s="432" t="s">
        <v>269</v>
      </c>
      <c r="EC4" s="433"/>
      <c r="ED4" s="434" t="s">
        <v>293</v>
      </c>
      <c r="EE4" s="435"/>
    </row>
    <row r="5" spans="1:135" ht="15" customHeight="1" x14ac:dyDescent="0.35">
      <c r="C5" s="129"/>
      <c r="D5" s="122" t="s">
        <v>105</v>
      </c>
      <c r="E5" s="385" t="s">
        <v>221</v>
      </c>
      <c r="F5" s="427"/>
      <c r="G5" s="385" t="s">
        <v>229</v>
      </c>
      <c r="H5" s="427"/>
      <c r="I5" s="385" t="s">
        <v>259</v>
      </c>
      <c r="J5" s="427"/>
      <c r="K5" s="385" t="s">
        <v>263</v>
      </c>
      <c r="L5" s="427"/>
      <c r="M5" s="385" t="s">
        <v>266</v>
      </c>
      <c r="N5" s="427"/>
      <c r="O5" s="385" t="s">
        <v>286</v>
      </c>
      <c r="P5" s="427"/>
      <c r="Q5" s="385" t="s">
        <v>287</v>
      </c>
      <c r="R5" s="427"/>
      <c r="S5" s="385" t="s">
        <v>288</v>
      </c>
      <c r="T5" s="427"/>
      <c r="U5" s="430" t="s">
        <v>205</v>
      </c>
      <c r="V5" s="431"/>
      <c r="W5" s="385" t="s">
        <v>207</v>
      </c>
      <c r="X5" s="427"/>
      <c r="Y5" s="385" t="s">
        <v>208</v>
      </c>
      <c r="Z5" s="427"/>
      <c r="AA5" s="385" t="s">
        <v>209</v>
      </c>
      <c r="AB5" s="427"/>
      <c r="AC5" s="385" t="s">
        <v>210</v>
      </c>
      <c r="AD5" s="427"/>
      <c r="AE5" s="385" t="s">
        <v>217</v>
      </c>
      <c r="AF5" s="427"/>
      <c r="AG5" s="385" t="s">
        <v>218</v>
      </c>
      <c r="AH5" s="427"/>
      <c r="AI5" s="385" t="s">
        <v>219</v>
      </c>
      <c r="AJ5" s="427"/>
      <c r="AK5" s="385" t="s">
        <v>220</v>
      </c>
      <c r="AL5" s="427"/>
      <c r="AM5" s="385" t="s">
        <v>221</v>
      </c>
      <c r="AN5" s="427"/>
      <c r="AO5" s="385" t="s">
        <v>229</v>
      </c>
      <c r="AP5" s="427"/>
      <c r="AQ5" s="385" t="s">
        <v>230</v>
      </c>
      <c r="AR5" s="427"/>
      <c r="AS5" s="385" t="s">
        <v>231</v>
      </c>
      <c r="AT5" s="427"/>
      <c r="AU5" s="385" t="s">
        <v>232</v>
      </c>
      <c r="AV5" s="427"/>
      <c r="AW5" s="385" t="s">
        <v>233</v>
      </c>
      <c r="AX5" s="427"/>
      <c r="AY5" s="428" t="s">
        <v>245</v>
      </c>
      <c r="AZ5" s="429"/>
      <c r="BA5" s="428" t="s">
        <v>246</v>
      </c>
      <c r="BB5" s="429"/>
      <c r="BC5" s="385" t="s">
        <v>247</v>
      </c>
      <c r="BD5" s="427"/>
      <c r="BE5" s="385" t="s">
        <v>253</v>
      </c>
      <c r="BF5" s="427"/>
      <c r="BG5" s="385" t="s">
        <v>254</v>
      </c>
      <c r="BH5" s="427"/>
      <c r="BI5" s="385" t="s">
        <v>270</v>
      </c>
      <c r="BJ5" s="427"/>
      <c r="BK5" s="385" t="s">
        <v>271</v>
      </c>
      <c r="BL5" s="427"/>
      <c r="BM5" s="385" t="s">
        <v>272</v>
      </c>
      <c r="BN5" s="427"/>
      <c r="BO5" s="385" t="s">
        <v>273</v>
      </c>
      <c r="BP5" s="427"/>
      <c r="BQ5" s="385" t="s">
        <v>274</v>
      </c>
      <c r="BR5" s="427"/>
      <c r="BS5" s="385" t="s">
        <v>275</v>
      </c>
      <c r="BT5" s="427"/>
      <c r="BU5" s="428" t="s">
        <v>294</v>
      </c>
      <c r="BV5" s="429"/>
      <c r="BW5" s="159"/>
      <c r="BX5" s="159"/>
      <c r="CD5" s="430" t="s">
        <v>205</v>
      </c>
      <c r="CE5" s="431"/>
      <c r="CF5" s="385" t="s">
        <v>207</v>
      </c>
      <c r="CG5" s="427"/>
      <c r="CH5" s="385" t="s">
        <v>208</v>
      </c>
      <c r="CI5" s="427"/>
      <c r="CJ5" s="385" t="s">
        <v>209</v>
      </c>
      <c r="CK5" s="427"/>
      <c r="CL5" s="385" t="s">
        <v>210</v>
      </c>
      <c r="CM5" s="427"/>
      <c r="CN5" s="385" t="s">
        <v>217</v>
      </c>
      <c r="CO5" s="427"/>
      <c r="CP5" s="385" t="s">
        <v>218</v>
      </c>
      <c r="CQ5" s="427"/>
      <c r="CR5" s="385" t="s">
        <v>219</v>
      </c>
      <c r="CS5" s="427"/>
      <c r="CT5" s="385" t="s">
        <v>220</v>
      </c>
      <c r="CU5" s="427"/>
      <c r="CV5" s="385" t="s">
        <v>221</v>
      </c>
      <c r="CW5" s="427"/>
      <c r="CX5" s="385" t="s">
        <v>229</v>
      </c>
      <c r="CY5" s="427"/>
      <c r="CZ5" s="385" t="s">
        <v>230</v>
      </c>
      <c r="DA5" s="427"/>
      <c r="DB5" s="385" t="s">
        <v>231</v>
      </c>
      <c r="DC5" s="427"/>
      <c r="DD5" s="385" t="s">
        <v>232</v>
      </c>
      <c r="DE5" s="427"/>
      <c r="DF5" s="385" t="s">
        <v>233</v>
      </c>
      <c r="DG5" s="427"/>
      <c r="DH5" s="428" t="s">
        <v>245</v>
      </c>
      <c r="DI5" s="429"/>
      <c r="DJ5" s="428" t="s">
        <v>246</v>
      </c>
      <c r="DK5" s="429"/>
      <c r="DL5" s="385" t="s">
        <v>247</v>
      </c>
      <c r="DM5" s="427"/>
      <c r="DN5" s="385" t="s">
        <v>253</v>
      </c>
      <c r="DO5" s="427"/>
      <c r="DP5" s="385" t="s">
        <v>254</v>
      </c>
      <c r="DQ5" s="427"/>
      <c r="DR5" s="385" t="s">
        <v>270</v>
      </c>
      <c r="DS5" s="427"/>
      <c r="DT5" s="385" t="s">
        <v>271</v>
      </c>
      <c r="DU5" s="427"/>
      <c r="DV5" s="385" t="s">
        <v>272</v>
      </c>
      <c r="DW5" s="427"/>
      <c r="DX5" s="385" t="s">
        <v>273</v>
      </c>
      <c r="DY5" s="427"/>
      <c r="DZ5" s="385" t="s">
        <v>274</v>
      </c>
      <c r="EA5" s="427"/>
      <c r="EB5" s="385" t="s">
        <v>275</v>
      </c>
      <c r="EC5" s="427"/>
      <c r="ED5" s="428" t="s">
        <v>294</v>
      </c>
      <c r="EE5" s="429"/>
    </row>
    <row r="6" spans="1:135" ht="15" customHeight="1" x14ac:dyDescent="0.35">
      <c r="C6" s="129"/>
      <c r="D6" s="122" t="s">
        <v>106</v>
      </c>
      <c r="E6" s="379">
        <v>82777</v>
      </c>
      <c r="F6" s="420"/>
      <c r="G6" s="379">
        <v>15880</v>
      </c>
      <c r="H6" s="420"/>
      <c r="I6" s="379">
        <v>151646</v>
      </c>
      <c r="J6" s="420"/>
      <c r="K6" s="379">
        <v>260176</v>
      </c>
      <c r="L6" s="420"/>
      <c r="M6" s="379">
        <v>311388</v>
      </c>
      <c r="N6" s="420"/>
      <c r="O6" s="379">
        <v>178673</v>
      </c>
      <c r="P6" s="420"/>
      <c r="Q6" s="379">
        <v>91929</v>
      </c>
      <c r="R6" s="420"/>
      <c r="S6" s="379">
        <v>231974</v>
      </c>
      <c r="T6" s="420"/>
      <c r="U6" s="425">
        <v>164777</v>
      </c>
      <c r="V6" s="426"/>
      <c r="W6" s="379">
        <v>143037</v>
      </c>
      <c r="X6" s="420"/>
      <c r="Y6" s="379">
        <v>82658</v>
      </c>
      <c r="Z6" s="420"/>
      <c r="AA6" s="379">
        <v>83552</v>
      </c>
      <c r="AB6" s="420"/>
      <c r="AC6" s="379">
        <v>135103</v>
      </c>
      <c r="AD6" s="420"/>
      <c r="AE6" s="379">
        <v>18808</v>
      </c>
      <c r="AF6" s="420"/>
      <c r="AG6" s="379">
        <v>468172</v>
      </c>
      <c r="AH6" s="420"/>
      <c r="AI6" s="379">
        <v>300093</v>
      </c>
      <c r="AJ6" s="420"/>
      <c r="AK6" s="379">
        <v>436279</v>
      </c>
      <c r="AL6" s="420"/>
      <c r="AM6" s="379">
        <v>82777</v>
      </c>
      <c r="AN6" s="420"/>
      <c r="AO6" s="379">
        <v>15880</v>
      </c>
      <c r="AP6" s="420"/>
      <c r="AQ6" s="379">
        <v>203690</v>
      </c>
      <c r="AR6" s="420"/>
      <c r="AS6" s="379">
        <v>189536</v>
      </c>
      <c r="AT6" s="420"/>
      <c r="AU6" s="379">
        <v>345456</v>
      </c>
      <c r="AV6" s="420"/>
      <c r="AW6" s="379">
        <v>126758</v>
      </c>
      <c r="AX6" s="420"/>
      <c r="AY6" s="423">
        <v>532397</v>
      </c>
      <c r="AZ6" s="424"/>
      <c r="BA6" s="423">
        <v>511455</v>
      </c>
      <c r="BB6" s="424"/>
      <c r="BC6" s="379">
        <v>55260</v>
      </c>
      <c r="BD6" s="420"/>
      <c r="BE6" s="379">
        <v>849466</v>
      </c>
      <c r="BF6" s="420"/>
      <c r="BG6" s="379">
        <v>543884</v>
      </c>
      <c r="BH6" s="420"/>
      <c r="BI6" s="379">
        <v>235444</v>
      </c>
      <c r="BJ6" s="420"/>
      <c r="BK6" s="379">
        <v>139533</v>
      </c>
      <c r="BL6" s="420"/>
      <c r="BM6" s="379">
        <v>86358</v>
      </c>
      <c r="BN6" s="420"/>
      <c r="BO6" s="379">
        <v>257363</v>
      </c>
      <c r="BP6" s="420"/>
      <c r="BQ6" s="379">
        <v>229081</v>
      </c>
      <c r="BR6" s="420"/>
      <c r="BS6" s="379">
        <v>95754</v>
      </c>
      <c r="BT6" s="420"/>
      <c r="BU6" s="423">
        <v>448524</v>
      </c>
      <c r="BV6" s="424"/>
      <c r="BW6" s="160"/>
      <c r="BX6" s="160"/>
      <c r="CD6" s="425">
        <v>164777</v>
      </c>
      <c r="CE6" s="426"/>
      <c r="CF6" s="379">
        <v>143037</v>
      </c>
      <c r="CG6" s="420"/>
      <c r="CH6" s="379">
        <v>82658</v>
      </c>
      <c r="CI6" s="420"/>
      <c r="CJ6" s="379">
        <v>83552</v>
      </c>
      <c r="CK6" s="420"/>
      <c r="CL6" s="379">
        <v>135103</v>
      </c>
      <c r="CM6" s="420"/>
      <c r="CN6" s="379">
        <v>18808</v>
      </c>
      <c r="CO6" s="420"/>
      <c r="CP6" s="379">
        <v>468172</v>
      </c>
      <c r="CQ6" s="420"/>
      <c r="CR6" s="379">
        <v>300093</v>
      </c>
      <c r="CS6" s="420"/>
      <c r="CT6" s="379">
        <v>436279</v>
      </c>
      <c r="CU6" s="420"/>
      <c r="CV6" s="379">
        <v>82777</v>
      </c>
      <c r="CW6" s="420"/>
      <c r="CX6" s="379">
        <v>15880</v>
      </c>
      <c r="CY6" s="420"/>
      <c r="CZ6" s="379">
        <v>203690</v>
      </c>
      <c r="DA6" s="420"/>
      <c r="DB6" s="379">
        <v>189536</v>
      </c>
      <c r="DC6" s="420"/>
      <c r="DD6" s="379">
        <v>345456</v>
      </c>
      <c r="DE6" s="420"/>
      <c r="DF6" s="379">
        <v>126758</v>
      </c>
      <c r="DG6" s="420"/>
      <c r="DH6" s="423">
        <v>532397</v>
      </c>
      <c r="DI6" s="424"/>
      <c r="DJ6" s="423">
        <v>511455</v>
      </c>
      <c r="DK6" s="424"/>
      <c r="DL6" s="379">
        <v>55260</v>
      </c>
      <c r="DM6" s="420"/>
      <c r="DN6" s="379">
        <v>849466</v>
      </c>
      <c r="DO6" s="420"/>
      <c r="DP6" s="379">
        <v>543884</v>
      </c>
      <c r="DQ6" s="420"/>
      <c r="DR6" s="379">
        <v>235444</v>
      </c>
      <c r="DS6" s="420"/>
      <c r="DT6" s="379">
        <v>139533</v>
      </c>
      <c r="DU6" s="420"/>
      <c r="DV6" s="379">
        <v>86358</v>
      </c>
      <c r="DW6" s="420"/>
      <c r="DX6" s="379">
        <v>257363</v>
      </c>
      <c r="DY6" s="420"/>
      <c r="DZ6" s="379">
        <v>229081</v>
      </c>
      <c r="EA6" s="420"/>
      <c r="EB6" s="379">
        <v>95754</v>
      </c>
      <c r="EC6" s="420"/>
      <c r="ED6" s="423">
        <v>448524</v>
      </c>
      <c r="EE6" s="424"/>
    </row>
    <row r="7" spans="1:135" ht="15" customHeight="1" x14ac:dyDescent="0.35">
      <c r="C7" s="129"/>
      <c r="D7" s="123" t="s">
        <v>107</v>
      </c>
      <c r="E7" s="379">
        <v>95</v>
      </c>
      <c r="F7" s="420"/>
      <c r="G7" s="379">
        <v>68</v>
      </c>
      <c r="H7" s="420"/>
      <c r="I7" s="379">
        <v>343</v>
      </c>
      <c r="J7" s="420"/>
      <c r="K7" s="379">
        <v>354</v>
      </c>
      <c r="L7" s="420"/>
      <c r="M7" s="379">
        <v>278</v>
      </c>
      <c r="N7" s="420"/>
      <c r="O7" s="379">
        <v>181</v>
      </c>
      <c r="P7" s="420"/>
      <c r="Q7" s="379">
        <v>172</v>
      </c>
      <c r="R7" s="420"/>
      <c r="S7" s="379">
        <v>303</v>
      </c>
      <c r="T7" s="420"/>
      <c r="U7" s="425">
        <v>226</v>
      </c>
      <c r="V7" s="426"/>
      <c r="W7" s="379">
        <v>305</v>
      </c>
      <c r="X7" s="420"/>
      <c r="Y7" s="379">
        <v>163</v>
      </c>
      <c r="Z7" s="420"/>
      <c r="AA7" s="379">
        <v>222</v>
      </c>
      <c r="AB7" s="420"/>
      <c r="AC7" s="379">
        <v>349</v>
      </c>
      <c r="AD7" s="420"/>
      <c r="AE7" s="379">
        <v>60</v>
      </c>
      <c r="AF7" s="420"/>
      <c r="AG7" s="379">
        <v>354</v>
      </c>
      <c r="AH7" s="420"/>
      <c r="AI7" s="379">
        <v>355</v>
      </c>
      <c r="AJ7" s="420"/>
      <c r="AK7" s="379">
        <v>354</v>
      </c>
      <c r="AL7" s="420"/>
      <c r="AM7" s="379">
        <v>95</v>
      </c>
      <c r="AN7" s="420"/>
      <c r="AO7" s="379">
        <v>68</v>
      </c>
      <c r="AP7" s="420"/>
      <c r="AQ7" s="379">
        <v>179</v>
      </c>
      <c r="AR7" s="420"/>
      <c r="AS7" s="379">
        <v>355</v>
      </c>
      <c r="AT7" s="420"/>
      <c r="AU7" s="379">
        <v>357</v>
      </c>
      <c r="AV7" s="420"/>
      <c r="AW7" s="379">
        <v>188</v>
      </c>
      <c r="AX7" s="420"/>
      <c r="AY7" s="423">
        <v>364</v>
      </c>
      <c r="AZ7" s="424"/>
      <c r="BA7" s="423">
        <v>364</v>
      </c>
      <c r="BB7" s="424"/>
      <c r="BC7" s="379">
        <v>364</v>
      </c>
      <c r="BD7" s="420"/>
      <c r="BE7" s="379">
        <v>357</v>
      </c>
      <c r="BF7" s="420"/>
      <c r="BG7" s="379">
        <v>355</v>
      </c>
      <c r="BH7" s="420"/>
      <c r="BI7" s="379">
        <v>233</v>
      </c>
      <c r="BJ7" s="420"/>
      <c r="BK7" s="379">
        <v>93</v>
      </c>
      <c r="BL7" s="420"/>
      <c r="BM7" s="379">
        <v>146</v>
      </c>
      <c r="BN7" s="420"/>
      <c r="BO7" s="379">
        <v>322</v>
      </c>
      <c r="BP7" s="420"/>
      <c r="BQ7" s="379">
        <v>217</v>
      </c>
      <c r="BR7" s="420"/>
      <c r="BS7" s="379">
        <v>81</v>
      </c>
      <c r="BT7" s="420"/>
      <c r="BU7" s="423">
        <v>292</v>
      </c>
      <c r="BV7" s="424"/>
      <c r="BW7" s="160"/>
      <c r="BX7" s="160"/>
      <c r="CD7" s="425">
        <v>226</v>
      </c>
      <c r="CE7" s="426"/>
      <c r="CF7" s="379">
        <v>305</v>
      </c>
      <c r="CG7" s="420"/>
      <c r="CH7" s="379">
        <v>163</v>
      </c>
      <c r="CI7" s="420"/>
      <c r="CJ7" s="379">
        <v>222</v>
      </c>
      <c r="CK7" s="420"/>
      <c r="CL7" s="379">
        <v>349</v>
      </c>
      <c r="CM7" s="420"/>
      <c r="CN7" s="379">
        <v>60</v>
      </c>
      <c r="CO7" s="420"/>
      <c r="CP7" s="379">
        <v>354</v>
      </c>
      <c r="CQ7" s="420"/>
      <c r="CR7" s="379">
        <v>355</v>
      </c>
      <c r="CS7" s="420"/>
      <c r="CT7" s="379">
        <v>354</v>
      </c>
      <c r="CU7" s="420"/>
      <c r="CV7" s="379">
        <v>95</v>
      </c>
      <c r="CW7" s="420"/>
      <c r="CX7" s="379">
        <v>68</v>
      </c>
      <c r="CY7" s="420"/>
      <c r="CZ7" s="379">
        <v>179</v>
      </c>
      <c r="DA7" s="420"/>
      <c r="DB7" s="379">
        <v>355</v>
      </c>
      <c r="DC7" s="420"/>
      <c r="DD7" s="379">
        <v>357</v>
      </c>
      <c r="DE7" s="420"/>
      <c r="DF7" s="379">
        <v>188</v>
      </c>
      <c r="DG7" s="420"/>
      <c r="DH7" s="423">
        <v>364</v>
      </c>
      <c r="DI7" s="424"/>
      <c r="DJ7" s="423">
        <v>364</v>
      </c>
      <c r="DK7" s="424"/>
      <c r="DL7" s="379">
        <v>364</v>
      </c>
      <c r="DM7" s="420"/>
      <c r="DN7" s="379">
        <v>357</v>
      </c>
      <c r="DO7" s="420"/>
      <c r="DP7" s="379">
        <v>355</v>
      </c>
      <c r="DQ7" s="420"/>
      <c r="DR7" s="379">
        <v>233</v>
      </c>
      <c r="DS7" s="420"/>
      <c r="DT7" s="379">
        <v>93</v>
      </c>
      <c r="DU7" s="420"/>
      <c r="DV7" s="379">
        <v>146</v>
      </c>
      <c r="DW7" s="420"/>
      <c r="DX7" s="379">
        <v>322</v>
      </c>
      <c r="DY7" s="420"/>
      <c r="DZ7" s="379">
        <v>217</v>
      </c>
      <c r="EA7" s="420"/>
      <c r="EB7" s="379">
        <v>81</v>
      </c>
      <c r="EC7" s="420"/>
      <c r="ED7" s="423">
        <v>292</v>
      </c>
      <c r="EE7" s="424"/>
    </row>
    <row r="8" spans="1:135" ht="15" customHeight="1" x14ac:dyDescent="0.35">
      <c r="C8" s="129"/>
      <c r="D8" s="123" t="s">
        <v>193</v>
      </c>
      <c r="E8" s="379">
        <v>7</v>
      </c>
      <c r="F8" s="420"/>
      <c r="G8" s="379">
        <v>4</v>
      </c>
      <c r="H8" s="420"/>
      <c r="I8" s="379">
        <v>11</v>
      </c>
      <c r="J8" s="420"/>
      <c r="K8" s="138"/>
      <c r="L8" s="139"/>
      <c r="M8" s="138"/>
      <c r="N8" s="139"/>
      <c r="O8" s="379">
        <v>175</v>
      </c>
      <c r="P8" s="420"/>
      <c r="Q8" s="379">
        <v>37</v>
      </c>
      <c r="R8" s="420"/>
      <c r="S8" s="379">
        <v>3</v>
      </c>
      <c r="T8" s="420"/>
      <c r="U8" s="425">
        <v>143</v>
      </c>
      <c r="V8" s="426"/>
      <c r="W8" s="379">
        <v>220</v>
      </c>
      <c r="X8" s="420"/>
      <c r="Y8" s="379">
        <v>33</v>
      </c>
      <c r="Z8" s="420"/>
      <c r="AA8" s="379">
        <v>186</v>
      </c>
      <c r="AB8" s="420"/>
      <c r="AC8" s="379">
        <v>109</v>
      </c>
      <c r="AD8" s="420"/>
      <c r="AE8" s="379">
        <v>5</v>
      </c>
      <c r="AF8" s="420"/>
      <c r="AG8" s="379">
        <v>0</v>
      </c>
      <c r="AH8" s="420"/>
      <c r="AI8" s="379">
        <v>0</v>
      </c>
      <c r="AJ8" s="420"/>
      <c r="AK8" s="379">
        <v>9</v>
      </c>
      <c r="AL8" s="420"/>
      <c r="AM8" s="379">
        <v>7</v>
      </c>
      <c r="AN8" s="420"/>
      <c r="AO8" s="379">
        <v>4</v>
      </c>
      <c r="AP8" s="420"/>
      <c r="AQ8" s="379">
        <v>26</v>
      </c>
      <c r="AR8" s="420"/>
      <c r="AS8" s="379">
        <v>31</v>
      </c>
      <c r="AT8" s="420"/>
      <c r="AU8" s="379">
        <v>12</v>
      </c>
      <c r="AV8" s="420"/>
      <c r="AW8" s="379">
        <v>11</v>
      </c>
      <c r="AX8" s="420"/>
      <c r="AY8" s="136"/>
      <c r="AZ8" s="137"/>
      <c r="BA8" s="136"/>
      <c r="BB8" s="137"/>
      <c r="BC8" s="138"/>
      <c r="BD8" s="139"/>
      <c r="BE8" s="138"/>
      <c r="BF8" s="139"/>
      <c r="BG8" s="138"/>
      <c r="BH8" s="139"/>
      <c r="BI8" s="379">
        <v>972</v>
      </c>
      <c r="BJ8" s="420"/>
      <c r="BK8" s="379">
        <v>486</v>
      </c>
      <c r="BL8" s="420"/>
      <c r="BM8" s="379">
        <v>399</v>
      </c>
      <c r="BN8" s="420"/>
      <c r="BO8" s="379">
        <v>1157</v>
      </c>
      <c r="BP8" s="420"/>
      <c r="BQ8" s="379">
        <v>1174</v>
      </c>
      <c r="BR8" s="420"/>
      <c r="BS8" s="379">
        <v>141</v>
      </c>
      <c r="BT8" s="420"/>
      <c r="BU8" s="136"/>
      <c r="BV8" s="137"/>
      <c r="BW8" s="160"/>
      <c r="BX8" s="160"/>
      <c r="CD8" s="425">
        <v>143</v>
      </c>
      <c r="CE8" s="426"/>
      <c r="CF8" s="379">
        <v>220</v>
      </c>
      <c r="CG8" s="420"/>
      <c r="CH8" s="379">
        <v>33</v>
      </c>
      <c r="CI8" s="420"/>
      <c r="CJ8" s="379">
        <v>186</v>
      </c>
      <c r="CK8" s="420"/>
      <c r="CL8" s="379">
        <v>109</v>
      </c>
      <c r="CM8" s="420"/>
      <c r="CN8" s="379">
        <v>5</v>
      </c>
      <c r="CO8" s="420"/>
      <c r="CP8" s="379">
        <v>0</v>
      </c>
      <c r="CQ8" s="420"/>
      <c r="CR8" s="379">
        <v>0</v>
      </c>
      <c r="CS8" s="420"/>
      <c r="CT8" s="379">
        <v>9</v>
      </c>
      <c r="CU8" s="420"/>
      <c r="CV8" s="379">
        <v>7</v>
      </c>
      <c r="CW8" s="420"/>
      <c r="CX8" s="379">
        <v>4</v>
      </c>
      <c r="CY8" s="420"/>
      <c r="CZ8" s="379">
        <v>26</v>
      </c>
      <c r="DA8" s="420"/>
      <c r="DB8" s="379">
        <v>31</v>
      </c>
      <c r="DC8" s="420"/>
      <c r="DD8" s="379">
        <v>12</v>
      </c>
      <c r="DE8" s="420"/>
      <c r="DF8" s="379">
        <v>11</v>
      </c>
      <c r="DG8" s="420"/>
      <c r="DH8" s="136"/>
      <c r="DI8" s="137"/>
      <c r="DJ8" s="136"/>
      <c r="DK8" s="137"/>
      <c r="DL8" s="138"/>
      <c r="DM8" s="139"/>
      <c r="DN8" s="138"/>
      <c r="DO8" s="139"/>
      <c r="DP8" s="138"/>
      <c r="DQ8" s="139"/>
      <c r="DR8" s="379">
        <v>972</v>
      </c>
      <c r="DS8" s="420"/>
      <c r="DT8" s="379">
        <v>486</v>
      </c>
      <c r="DU8" s="420"/>
      <c r="DV8" s="379">
        <v>399</v>
      </c>
      <c r="DW8" s="420"/>
      <c r="DX8" s="379">
        <v>1157</v>
      </c>
      <c r="DY8" s="420"/>
      <c r="DZ8" s="379">
        <v>1174</v>
      </c>
      <c r="EA8" s="420"/>
      <c r="EB8" s="379">
        <v>141</v>
      </c>
      <c r="EC8" s="420"/>
      <c r="ED8" s="136"/>
      <c r="EE8" s="137"/>
    </row>
    <row r="9" spans="1:135" ht="43.5" x14ac:dyDescent="0.35">
      <c r="A9" s="141" t="s">
        <v>117</v>
      </c>
      <c r="B9" s="120" t="s">
        <v>0</v>
      </c>
      <c r="C9" s="129"/>
      <c r="D9" s="123" t="s">
        <v>194</v>
      </c>
      <c r="E9" s="379">
        <v>4</v>
      </c>
      <c r="F9" s="420"/>
      <c r="G9" s="379">
        <v>12</v>
      </c>
      <c r="H9" s="420"/>
      <c r="I9" s="379">
        <v>53</v>
      </c>
      <c r="J9" s="420"/>
      <c r="K9" s="138"/>
      <c r="L9" s="139"/>
      <c r="M9" s="138"/>
      <c r="N9" s="139"/>
      <c r="O9" s="379">
        <v>181</v>
      </c>
      <c r="P9" s="420"/>
      <c r="Q9" s="379">
        <v>87</v>
      </c>
      <c r="R9" s="420"/>
      <c r="S9" s="379">
        <v>59</v>
      </c>
      <c r="T9" s="420"/>
      <c r="U9" s="425">
        <v>226</v>
      </c>
      <c r="V9" s="426"/>
      <c r="W9" s="379">
        <v>212</v>
      </c>
      <c r="X9" s="420"/>
      <c r="Y9" s="379">
        <v>80</v>
      </c>
      <c r="Z9" s="420"/>
      <c r="AA9" s="379">
        <v>222</v>
      </c>
      <c r="AB9" s="420"/>
      <c r="AC9" s="379">
        <v>319</v>
      </c>
      <c r="AD9" s="420"/>
      <c r="AE9" s="379">
        <v>19</v>
      </c>
      <c r="AF9" s="420"/>
      <c r="AG9" s="379">
        <v>0</v>
      </c>
      <c r="AH9" s="420"/>
      <c r="AI9" s="379">
        <v>0</v>
      </c>
      <c r="AJ9" s="420"/>
      <c r="AK9" s="379">
        <v>208</v>
      </c>
      <c r="AL9" s="420"/>
      <c r="AM9" s="379">
        <v>4</v>
      </c>
      <c r="AN9" s="420"/>
      <c r="AO9" s="379">
        <v>12</v>
      </c>
      <c r="AP9" s="420"/>
      <c r="AQ9" s="379">
        <v>32</v>
      </c>
      <c r="AR9" s="420"/>
      <c r="AS9" s="379">
        <v>204</v>
      </c>
      <c r="AT9" s="420"/>
      <c r="AU9" s="379">
        <v>54</v>
      </c>
      <c r="AV9" s="420"/>
      <c r="AW9" s="379">
        <v>14</v>
      </c>
      <c r="AX9" s="420"/>
      <c r="AY9" s="136"/>
      <c r="AZ9" s="137"/>
      <c r="BA9" s="136"/>
      <c r="BB9" s="137"/>
      <c r="BC9" s="138"/>
      <c r="BD9" s="139"/>
      <c r="BE9" s="138"/>
      <c r="BF9" s="139"/>
      <c r="BG9" s="138"/>
      <c r="BH9" s="139"/>
      <c r="BI9" s="379">
        <v>233</v>
      </c>
      <c r="BJ9" s="420"/>
      <c r="BK9" s="379">
        <v>93</v>
      </c>
      <c r="BL9" s="420"/>
      <c r="BM9" s="379">
        <v>103</v>
      </c>
      <c r="BN9" s="420"/>
      <c r="BO9" s="379">
        <v>292</v>
      </c>
      <c r="BP9" s="420"/>
      <c r="BQ9" s="379">
        <v>217</v>
      </c>
      <c r="BR9" s="420"/>
      <c r="BS9" s="379">
        <v>81</v>
      </c>
      <c r="BT9" s="420"/>
      <c r="BU9" s="136"/>
      <c r="BV9" s="137"/>
      <c r="BW9" s="160"/>
      <c r="BX9" s="160"/>
      <c r="CD9" s="425">
        <v>226</v>
      </c>
      <c r="CE9" s="426"/>
      <c r="CF9" s="379">
        <v>212</v>
      </c>
      <c r="CG9" s="420"/>
      <c r="CH9" s="379">
        <v>80</v>
      </c>
      <c r="CI9" s="420"/>
      <c r="CJ9" s="379">
        <v>222</v>
      </c>
      <c r="CK9" s="420"/>
      <c r="CL9" s="379">
        <v>319</v>
      </c>
      <c r="CM9" s="420"/>
      <c r="CN9" s="379">
        <v>19</v>
      </c>
      <c r="CO9" s="420"/>
      <c r="CP9" s="379">
        <v>0</v>
      </c>
      <c r="CQ9" s="420"/>
      <c r="CR9" s="379">
        <v>0</v>
      </c>
      <c r="CS9" s="420"/>
      <c r="CT9" s="379">
        <v>208</v>
      </c>
      <c r="CU9" s="420"/>
      <c r="CV9" s="379">
        <v>4</v>
      </c>
      <c r="CW9" s="420"/>
      <c r="CX9" s="379">
        <v>12</v>
      </c>
      <c r="CY9" s="420"/>
      <c r="CZ9" s="379">
        <v>32</v>
      </c>
      <c r="DA9" s="420"/>
      <c r="DB9" s="379">
        <v>204</v>
      </c>
      <c r="DC9" s="420"/>
      <c r="DD9" s="379">
        <v>54</v>
      </c>
      <c r="DE9" s="420"/>
      <c r="DF9" s="379">
        <v>14</v>
      </c>
      <c r="DG9" s="420"/>
      <c r="DH9" s="136"/>
      <c r="DI9" s="137"/>
      <c r="DJ9" s="136"/>
      <c r="DK9" s="137"/>
      <c r="DL9" s="138"/>
      <c r="DM9" s="139"/>
      <c r="DN9" s="138"/>
      <c r="DO9" s="139"/>
      <c r="DP9" s="138"/>
      <c r="DQ9" s="139"/>
      <c r="DR9" s="379">
        <v>233</v>
      </c>
      <c r="DS9" s="420"/>
      <c r="DT9" s="379">
        <v>93</v>
      </c>
      <c r="DU9" s="420"/>
      <c r="DV9" s="379">
        <v>103</v>
      </c>
      <c r="DW9" s="420"/>
      <c r="DX9" s="379">
        <v>292</v>
      </c>
      <c r="DY9" s="420"/>
      <c r="DZ9" s="379">
        <v>217</v>
      </c>
      <c r="EA9" s="420"/>
      <c r="EB9" s="379">
        <v>81</v>
      </c>
      <c r="EC9" s="420"/>
      <c r="ED9" s="136"/>
      <c r="EE9" s="137"/>
    </row>
    <row r="10" spans="1:135" ht="27" customHeight="1" thickBot="1" x14ac:dyDescent="0.4">
      <c r="C10" s="129"/>
      <c r="D10" s="124" t="s">
        <v>108</v>
      </c>
      <c r="E10" s="383">
        <v>42163</v>
      </c>
      <c r="F10" s="382"/>
      <c r="G10" s="383">
        <v>42163</v>
      </c>
      <c r="H10" s="382"/>
      <c r="I10" s="383">
        <v>41988</v>
      </c>
      <c r="J10" s="382"/>
      <c r="K10" s="383">
        <v>42152</v>
      </c>
      <c r="L10" s="382"/>
      <c r="M10" s="383">
        <v>42152</v>
      </c>
      <c r="N10" s="382"/>
      <c r="O10" s="383">
        <v>41935</v>
      </c>
      <c r="P10" s="382"/>
      <c r="Q10" s="383"/>
      <c r="R10" s="382"/>
      <c r="S10" s="383"/>
      <c r="T10" s="382"/>
      <c r="U10" s="421"/>
      <c r="V10" s="422"/>
      <c r="W10" s="383">
        <v>41981</v>
      </c>
      <c r="X10" s="382"/>
      <c r="Y10" s="383">
        <v>41981</v>
      </c>
      <c r="Z10" s="382"/>
      <c r="AA10" s="383">
        <v>41981</v>
      </c>
      <c r="AB10" s="382"/>
      <c r="AC10" s="383">
        <v>41981</v>
      </c>
      <c r="AD10" s="382"/>
      <c r="AE10" s="383">
        <v>42114</v>
      </c>
      <c r="AF10" s="382"/>
      <c r="AG10" s="383">
        <v>42114</v>
      </c>
      <c r="AH10" s="382"/>
      <c r="AI10" s="383">
        <v>42114</v>
      </c>
      <c r="AJ10" s="382"/>
      <c r="AK10" s="383">
        <v>42114</v>
      </c>
      <c r="AL10" s="382"/>
      <c r="AM10" s="383">
        <v>42114</v>
      </c>
      <c r="AN10" s="382"/>
      <c r="AO10" s="383">
        <v>42114</v>
      </c>
      <c r="AP10" s="382"/>
      <c r="AQ10" s="383">
        <v>42114</v>
      </c>
      <c r="AR10" s="382"/>
      <c r="AS10" s="383">
        <v>42114</v>
      </c>
      <c r="AT10" s="382"/>
      <c r="AU10" s="383">
        <v>42114</v>
      </c>
      <c r="AV10" s="382"/>
      <c r="AW10" s="383">
        <v>42114</v>
      </c>
      <c r="AX10" s="382"/>
      <c r="AY10" s="416">
        <v>41789</v>
      </c>
      <c r="AZ10" s="417"/>
      <c r="BA10" s="416">
        <v>41789</v>
      </c>
      <c r="BB10" s="417"/>
      <c r="BC10" s="383">
        <v>41789</v>
      </c>
      <c r="BD10" s="382"/>
      <c r="BE10" s="383">
        <v>41995</v>
      </c>
      <c r="BF10" s="382"/>
      <c r="BG10" s="383">
        <v>41995</v>
      </c>
      <c r="BH10" s="382"/>
      <c r="BI10" s="383">
        <v>42153</v>
      </c>
      <c r="BJ10" s="382"/>
      <c r="BK10" s="383">
        <v>42153</v>
      </c>
      <c r="BL10" s="382"/>
      <c r="BM10" s="383">
        <v>42153</v>
      </c>
      <c r="BN10" s="382"/>
      <c r="BO10" s="383">
        <v>42153</v>
      </c>
      <c r="BP10" s="382"/>
      <c r="BQ10" s="383">
        <v>42153</v>
      </c>
      <c r="BR10" s="382"/>
      <c r="BS10" s="383">
        <v>42153</v>
      </c>
      <c r="BT10" s="382"/>
      <c r="BU10" s="416">
        <v>41788</v>
      </c>
      <c r="BV10" s="417"/>
      <c r="BW10" s="165"/>
      <c r="BX10" s="165"/>
      <c r="CA10" s="2" t="s">
        <v>496</v>
      </c>
      <c r="CD10" s="421"/>
      <c r="CE10" s="422"/>
      <c r="CF10" s="383">
        <v>41981</v>
      </c>
      <c r="CG10" s="382"/>
      <c r="CH10" s="383">
        <v>41981</v>
      </c>
      <c r="CI10" s="382"/>
      <c r="CJ10" s="383">
        <v>41981</v>
      </c>
      <c r="CK10" s="382"/>
      <c r="CL10" s="383">
        <v>41981</v>
      </c>
      <c r="CM10" s="382"/>
      <c r="CN10" s="383">
        <v>42114</v>
      </c>
      <c r="CO10" s="382"/>
      <c r="CP10" s="383">
        <v>42114</v>
      </c>
      <c r="CQ10" s="382"/>
      <c r="CR10" s="383">
        <v>42114</v>
      </c>
      <c r="CS10" s="382"/>
      <c r="CT10" s="383">
        <v>42114</v>
      </c>
      <c r="CU10" s="382"/>
      <c r="CV10" s="383">
        <v>42114</v>
      </c>
      <c r="CW10" s="382"/>
      <c r="CX10" s="383">
        <v>42114</v>
      </c>
      <c r="CY10" s="382"/>
      <c r="CZ10" s="383">
        <v>42114</v>
      </c>
      <c r="DA10" s="382"/>
      <c r="DB10" s="383">
        <v>42114</v>
      </c>
      <c r="DC10" s="382"/>
      <c r="DD10" s="383">
        <v>42114</v>
      </c>
      <c r="DE10" s="382"/>
      <c r="DF10" s="383">
        <v>42114</v>
      </c>
      <c r="DG10" s="382"/>
      <c r="DH10" s="416">
        <v>41789</v>
      </c>
      <c r="DI10" s="417"/>
      <c r="DJ10" s="416">
        <v>41789</v>
      </c>
      <c r="DK10" s="417"/>
      <c r="DL10" s="383">
        <v>41789</v>
      </c>
      <c r="DM10" s="382"/>
      <c r="DN10" s="383">
        <v>41995</v>
      </c>
      <c r="DO10" s="382"/>
      <c r="DP10" s="383">
        <v>41995</v>
      </c>
      <c r="DQ10" s="382"/>
      <c r="DR10" s="383">
        <v>42153</v>
      </c>
      <c r="DS10" s="382"/>
      <c r="DT10" s="383">
        <v>42153</v>
      </c>
      <c r="DU10" s="382"/>
      <c r="DV10" s="383">
        <v>42153</v>
      </c>
      <c r="DW10" s="382"/>
      <c r="DX10" s="383">
        <v>42153</v>
      </c>
      <c r="DY10" s="382"/>
      <c r="DZ10" s="383">
        <v>42153</v>
      </c>
      <c r="EA10" s="382"/>
      <c r="EB10" s="383">
        <v>42153</v>
      </c>
      <c r="EC10" s="382"/>
      <c r="ED10" s="416">
        <v>41788</v>
      </c>
      <c r="EE10" s="417"/>
    </row>
    <row r="11" spans="1:135" ht="49.5" customHeight="1" thickBot="1" x14ac:dyDescent="0.4">
      <c r="C11" s="129"/>
      <c r="D11" s="125" t="s">
        <v>109</v>
      </c>
      <c r="E11" s="376" t="s">
        <v>227</v>
      </c>
      <c r="F11" s="377"/>
      <c r="G11" s="376" t="s">
        <v>235</v>
      </c>
      <c r="H11" s="377"/>
      <c r="I11" s="376" t="s">
        <v>260</v>
      </c>
      <c r="J11" s="377"/>
      <c r="K11" s="376" t="s">
        <v>264</v>
      </c>
      <c r="L11" s="377"/>
      <c r="M11" s="376" t="s">
        <v>267</v>
      </c>
      <c r="N11" s="377"/>
      <c r="O11" s="376" t="s">
        <v>289</v>
      </c>
      <c r="P11" s="377"/>
      <c r="Q11" s="376" t="s">
        <v>290</v>
      </c>
      <c r="R11" s="377"/>
      <c r="S11" s="376" t="s">
        <v>291</v>
      </c>
      <c r="T11" s="377"/>
      <c r="U11" s="418" t="s">
        <v>206</v>
      </c>
      <c r="V11" s="419"/>
      <c r="W11" s="376" t="s">
        <v>211</v>
      </c>
      <c r="X11" s="377"/>
      <c r="Y11" s="376" t="s">
        <v>212</v>
      </c>
      <c r="Z11" s="377"/>
      <c r="AA11" s="376" t="s">
        <v>213</v>
      </c>
      <c r="AB11" s="377"/>
      <c r="AC11" s="376" t="s">
        <v>214</v>
      </c>
      <c r="AD11" s="377"/>
      <c r="AE11" s="376" t="s">
        <v>222</v>
      </c>
      <c r="AF11" s="377"/>
      <c r="AG11" s="376" t="s">
        <v>223</v>
      </c>
      <c r="AH11" s="377"/>
      <c r="AI11" s="376" t="s">
        <v>224</v>
      </c>
      <c r="AJ11" s="377"/>
      <c r="AK11" s="376" t="s">
        <v>225</v>
      </c>
      <c r="AL11" s="377"/>
      <c r="AM11" s="376" t="s">
        <v>226</v>
      </c>
      <c r="AN11" s="377"/>
      <c r="AO11" s="376" t="s">
        <v>234</v>
      </c>
      <c r="AP11" s="377"/>
      <c r="AQ11" s="376" t="s">
        <v>236</v>
      </c>
      <c r="AR11" s="377"/>
      <c r="AS11" s="376" t="s">
        <v>237</v>
      </c>
      <c r="AT11" s="377"/>
      <c r="AU11" s="376" t="s">
        <v>238</v>
      </c>
      <c r="AV11" s="377"/>
      <c r="AW11" s="376" t="s">
        <v>239</v>
      </c>
      <c r="AX11" s="377"/>
      <c r="AY11" s="414" t="s">
        <v>248</v>
      </c>
      <c r="AZ11" s="415"/>
      <c r="BA11" s="414" t="s">
        <v>249</v>
      </c>
      <c r="BB11" s="415"/>
      <c r="BC11" s="376" t="s">
        <v>250</v>
      </c>
      <c r="BD11" s="377"/>
      <c r="BE11" s="376" t="s">
        <v>255</v>
      </c>
      <c r="BF11" s="377"/>
      <c r="BG11" s="376" t="s">
        <v>256</v>
      </c>
      <c r="BH11" s="377"/>
      <c r="BI11" s="376" t="s">
        <v>276</v>
      </c>
      <c r="BJ11" s="377"/>
      <c r="BK11" s="376" t="s">
        <v>277</v>
      </c>
      <c r="BL11" s="377"/>
      <c r="BM11" s="376" t="s">
        <v>278</v>
      </c>
      <c r="BN11" s="377"/>
      <c r="BO11" s="376" t="s">
        <v>279</v>
      </c>
      <c r="BP11" s="377"/>
      <c r="BQ11" s="376" t="s">
        <v>280</v>
      </c>
      <c r="BR11" s="377"/>
      <c r="BS11" s="376" t="s">
        <v>281</v>
      </c>
      <c r="BT11" s="377"/>
      <c r="BU11" s="414" t="s">
        <v>295</v>
      </c>
      <c r="BV11" s="415"/>
      <c r="BW11" s="30" t="s">
        <v>118</v>
      </c>
      <c r="BX11" s="31" t="s">
        <v>119</v>
      </c>
      <c r="BY11" s="95" t="s">
        <v>59</v>
      </c>
      <c r="CA11" s="2" t="s">
        <v>497</v>
      </c>
      <c r="CD11" s="418" t="s">
        <v>206</v>
      </c>
      <c r="CE11" s="419"/>
      <c r="CF11" s="376" t="s">
        <v>211</v>
      </c>
      <c r="CG11" s="377"/>
      <c r="CH11" s="376" t="s">
        <v>212</v>
      </c>
      <c r="CI11" s="377"/>
      <c r="CJ11" s="376" t="s">
        <v>213</v>
      </c>
      <c r="CK11" s="377"/>
      <c r="CL11" s="376" t="s">
        <v>214</v>
      </c>
      <c r="CM11" s="377"/>
      <c r="CN11" s="376" t="s">
        <v>222</v>
      </c>
      <c r="CO11" s="377"/>
      <c r="CP11" s="376" t="s">
        <v>223</v>
      </c>
      <c r="CQ11" s="377"/>
      <c r="CR11" s="376" t="s">
        <v>224</v>
      </c>
      <c r="CS11" s="377"/>
      <c r="CT11" s="376" t="s">
        <v>225</v>
      </c>
      <c r="CU11" s="377"/>
      <c r="CV11" s="376" t="s">
        <v>226</v>
      </c>
      <c r="CW11" s="377"/>
      <c r="CX11" s="376" t="s">
        <v>234</v>
      </c>
      <c r="CY11" s="377"/>
      <c r="CZ11" s="376" t="s">
        <v>236</v>
      </c>
      <c r="DA11" s="377"/>
      <c r="DB11" s="376" t="s">
        <v>237</v>
      </c>
      <c r="DC11" s="377"/>
      <c r="DD11" s="376" t="s">
        <v>238</v>
      </c>
      <c r="DE11" s="377"/>
      <c r="DF11" s="376" t="s">
        <v>239</v>
      </c>
      <c r="DG11" s="377"/>
      <c r="DH11" s="414" t="s">
        <v>248</v>
      </c>
      <c r="DI11" s="415"/>
      <c r="DJ11" s="414" t="s">
        <v>249</v>
      </c>
      <c r="DK11" s="415"/>
      <c r="DL11" s="376" t="s">
        <v>250</v>
      </c>
      <c r="DM11" s="377"/>
      <c r="DN11" s="376" t="s">
        <v>255</v>
      </c>
      <c r="DO11" s="377"/>
      <c r="DP11" s="376" t="s">
        <v>256</v>
      </c>
      <c r="DQ11" s="377"/>
      <c r="DR11" s="376" t="s">
        <v>276</v>
      </c>
      <c r="DS11" s="377"/>
      <c r="DT11" s="376" t="s">
        <v>277</v>
      </c>
      <c r="DU11" s="377"/>
      <c r="DV11" s="376" t="s">
        <v>278</v>
      </c>
      <c r="DW11" s="377"/>
      <c r="DX11" s="376" t="s">
        <v>279</v>
      </c>
      <c r="DY11" s="377"/>
      <c r="DZ11" s="376" t="s">
        <v>280</v>
      </c>
      <c r="EA11" s="377"/>
      <c r="EB11" s="376" t="s">
        <v>281</v>
      </c>
      <c r="EC11" s="377"/>
      <c r="ED11" s="414" t="s">
        <v>295</v>
      </c>
      <c r="EE11" s="415"/>
    </row>
    <row r="12" spans="1:135" ht="27" customHeight="1" thickBot="1" x14ac:dyDescent="0.4">
      <c r="C12" s="129"/>
      <c r="D12" s="126"/>
      <c r="E12" s="35" t="s">
        <v>120</v>
      </c>
      <c r="F12" s="34" t="s">
        <v>121</v>
      </c>
      <c r="G12" s="35" t="s">
        <v>120</v>
      </c>
      <c r="H12" s="34" t="s">
        <v>121</v>
      </c>
      <c r="I12" s="35" t="s">
        <v>120</v>
      </c>
      <c r="J12" s="34" t="s">
        <v>121</v>
      </c>
      <c r="K12" s="35" t="s">
        <v>120</v>
      </c>
      <c r="L12" s="34" t="s">
        <v>121</v>
      </c>
      <c r="M12" s="35" t="s">
        <v>120</v>
      </c>
      <c r="N12" s="34" t="s">
        <v>121</v>
      </c>
      <c r="O12" s="35" t="s">
        <v>120</v>
      </c>
      <c r="P12" s="34" t="s">
        <v>121</v>
      </c>
      <c r="Q12" s="35" t="s">
        <v>120</v>
      </c>
      <c r="R12" s="34" t="s">
        <v>121</v>
      </c>
      <c r="S12" s="35" t="s">
        <v>120</v>
      </c>
      <c r="T12" s="34" t="s">
        <v>121</v>
      </c>
      <c r="U12" s="101" t="s">
        <v>120</v>
      </c>
      <c r="V12" s="102" t="s">
        <v>121</v>
      </c>
      <c r="W12" s="35" t="s">
        <v>120</v>
      </c>
      <c r="X12" s="34" t="s">
        <v>121</v>
      </c>
      <c r="Y12" s="35" t="s">
        <v>120</v>
      </c>
      <c r="Z12" s="34" t="s">
        <v>121</v>
      </c>
      <c r="AA12" s="35" t="s">
        <v>120</v>
      </c>
      <c r="AB12" s="34" t="s">
        <v>121</v>
      </c>
      <c r="AC12" s="35" t="s">
        <v>120</v>
      </c>
      <c r="AD12" s="34" t="s">
        <v>121</v>
      </c>
      <c r="AE12" s="35" t="s">
        <v>120</v>
      </c>
      <c r="AF12" s="34" t="s">
        <v>121</v>
      </c>
      <c r="AG12" s="35" t="s">
        <v>120</v>
      </c>
      <c r="AH12" s="34" t="s">
        <v>121</v>
      </c>
      <c r="AI12" s="35" t="s">
        <v>120</v>
      </c>
      <c r="AJ12" s="34" t="s">
        <v>121</v>
      </c>
      <c r="AK12" s="35" t="s">
        <v>120</v>
      </c>
      <c r="AL12" s="34" t="s">
        <v>121</v>
      </c>
      <c r="AM12" s="35" t="s">
        <v>120</v>
      </c>
      <c r="AN12" s="34" t="s">
        <v>121</v>
      </c>
      <c r="AO12" s="35" t="s">
        <v>120</v>
      </c>
      <c r="AP12" s="34" t="s">
        <v>121</v>
      </c>
      <c r="AQ12" s="35" t="s">
        <v>120</v>
      </c>
      <c r="AR12" s="34" t="s">
        <v>121</v>
      </c>
      <c r="AS12" s="35" t="s">
        <v>120</v>
      </c>
      <c r="AT12" s="34" t="s">
        <v>121</v>
      </c>
      <c r="AU12" s="35" t="s">
        <v>120</v>
      </c>
      <c r="AV12" s="34" t="s">
        <v>121</v>
      </c>
      <c r="AW12" s="35" t="s">
        <v>120</v>
      </c>
      <c r="AX12" s="34" t="s">
        <v>121</v>
      </c>
      <c r="AY12" s="134" t="s">
        <v>120</v>
      </c>
      <c r="AZ12" s="135" t="s">
        <v>121</v>
      </c>
      <c r="BA12" s="134" t="s">
        <v>120</v>
      </c>
      <c r="BB12" s="135" t="s">
        <v>121</v>
      </c>
      <c r="BC12" s="35" t="s">
        <v>120</v>
      </c>
      <c r="BD12" s="34" t="s">
        <v>121</v>
      </c>
      <c r="BE12" s="35" t="s">
        <v>120</v>
      </c>
      <c r="BF12" s="34" t="s">
        <v>121</v>
      </c>
      <c r="BG12" s="35" t="s">
        <v>120</v>
      </c>
      <c r="BH12" s="34" t="s">
        <v>121</v>
      </c>
      <c r="BI12" s="35" t="s">
        <v>120</v>
      </c>
      <c r="BJ12" s="34" t="s">
        <v>121</v>
      </c>
      <c r="BK12" s="35" t="s">
        <v>120</v>
      </c>
      <c r="BL12" s="34" t="s">
        <v>121</v>
      </c>
      <c r="BM12" s="35" t="s">
        <v>120</v>
      </c>
      <c r="BN12" s="34" t="s">
        <v>121</v>
      </c>
      <c r="BO12" s="35" t="s">
        <v>120</v>
      </c>
      <c r="BP12" s="34" t="s">
        <v>121</v>
      </c>
      <c r="BQ12" s="35" t="s">
        <v>120</v>
      </c>
      <c r="BR12" s="34" t="s">
        <v>121</v>
      </c>
      <c r="BS12" s="35" t="s">
        <v>120</v>
      </c>
      <c r="BT12" s="34" t="s">
        <v>121</v>
      </c>
      <c r="BU12" s="134" t="s">
        <v>120</v>
      </c>
      <c r="BV12" s="135" t="s">
        <v>121</v>
      </c>
      <c r="BW12" s="36" t="s">
        <v>121</v>
      </c>
      <c r="BX12" s="37" t="s">
        <v>121</v>
      </c>
      <c r="BY12" s="96"/>
      <c r="CA12" s="2" t="s">
        <v>498</v>
      </c>
      <c r="CD12" s="101" t="s">
        <v>120</v>
      </c>
      <c r="CE12" s="102" t="s">
        <v>121</v>
      </c>
      <c r="CF12" s="35" t="s">
        <v>120</v>
      </c>
      <c r="CG12" s="34" t="s">
        <v>121</v>
      </c>
      <c r="CH12" s="35" t="s">
        <v>120</v>
      </c>
      <c r="CI12" s="34" t="s">
        <v>121</v>
      </c>
      <c r="CJ12" s="35" t="s">
        <v>120</v>
      </c>
      <c r="CK12" s="34" t="s">
        <v>121</v>
      </c>
      <c r="CL12" s="35" t="s">
        <v>120</v>
      </c>
      <c r="CM12" s="34" t="s">
        <v>121</v>
      </c>
      <c r="CN12" s="35" t="s">
        <v>120</v>
      </c>
      <c r="CO12" s="34" t="s">
        <v>121</v>
      </c>
      <c r="CP12" s="35" t="s">
        <v>120</v>
      </c>
      <c r="CQ12" s="34" t="s">
        <v>121</v>
      </c>
      <c r="CR12" s="35" t="s">
        <v>120</v>
      </c>
      <c r="CS12" s="34" t="s">
        <v>121</v>
      </c>
      <c r="CT12" s="35" t="s">
        <v>120</v>
      </c>
      <c r="CU12" s="34" t="s">
        <v>121</v>
      </c>
      <c r="CV12" s="35" t="s">
        <v>120</v>
      </c>
      <c r="CW12" s="34" t="s">
        <v>121</v>
      </c>
      <c r="CX12" s="35" t="s">
        <v>120</v>
      </c>
      <c r="CY12" s="34" t="s">
        <v>121</v>
      </c>
      <c r="CZ12" s="35" t="s">
        <v>120</v>
      </c>
      <c r="DA12" s="34" t="s">
        <v>121</v>
      </c>
      <c r="DB12" s="35" t="s">
        <v>120</v>
      </c>
      <c r="DC12" s="34" t="s">
        <v>121</v>
      </c>
      <c r="DD12" s="35" t="s">
        <v>120</v>
      </c>
      <c r="DE12" s="34" t="s">
        <v>121</v>
      </c>
      <c r="DF12" s="35" t="s">
        <v>120</v>
      </c>
      <c r="DG12" s="34" t="s">
        <v>121</v>
      </c>
      <c r="DH12" s="134" t="s">
        <v>120</v>
      </c>
      <c r="DI12" s="135" t="s">
        <v>121</v>
      </c>
      <c r="DJ12" s="134" t="s">
        <v>120</v>
      </c>
      <c r="DK12" s="135" t="s">
        <v>121</v>
      </c>
      <c r="DL12" s="35" t="s">
        <v>120</v>
      </c>
      <c r="DM12" s="34" t="s">
        <v>121</v>
      </c>
      <c r="DN12" s="35" t="s">
        <v>120</v>
      </c>
      <c r="DO12" s="34" t="s">
        <v>121</v>
      </c>
      <c r="DP12" s="35" t="s">
        <v>120</v>
      </c>
      <c r="DQ12" s="34" t="s">
        <v>121</v>
      </c>
      <c r="DR12" s="35" t="s">
        <v>120</v>
      </c>
      <c r="DS12" s="34" t="s">
        <v>121</v>
      </c>
      <c r="DT12" s="35" t="s">
        <v>120</v>
      </c>
      <c r="DU12" s="34" t="s">
        <v>121</v>
      </c>
      <c r="DV12" s="35" t="s">
        <v>120</v>
      </c>
      <c r="DW12" s="34" t="s">
        <v>121</v>
      </c>
      <c r="DX12" s="35" t="s">
        <v>120</v>
      </c>
      <c r="DY12" s="34" t="s">
        <v>121</v>
      </c>
      <c r="DZ12" s="35" t="s">
        <v>120</v>
      </c>
      <c r="EA12" s="34" t="s">
        <v>121</v>
      </c>
      <c r="EB12" s="35" t="s">
        <v>120</v>
      </c>
      <c r="EC12" s="34" t="s">
        <v>121</v>
      </c>
      <c r="ED12" s="134" t="s">
        <v>120</v>
      </c>
      <c r="EE12" s="135" t="s">
        <v>121</v>
      </c>
    </row>
    <row r="13" spans="1:135" ht="15.75" customHeight="1" x14ac:dyDescent="0.35">
      <c r="C13" s="129"/>
      <c r="D13" s="121" t="s">
        <v>122</v>
      </c>
      <c r="E13" s="112">
        <v>0</v>
      </c>
      <c r="F13" s="103">
        <v>0</v>
      </c>
      <c r="G13" s="112">
        <v>0</v>
      </c>
      <c r="H13" s="103">
        <v>0</v>
      </c>
      <c r="I13" s="112">
        <v>0</v>
      </c>
      <c r="J13" s="103">
        <v>0</v>
      </c>
      <c r="K13" s="112">
        <v>0</v>
      </c>
      <c r="L13" s="103">
        <v>0</v>
      </c>
      <c r="M13" s="112">
        <v>0</v>
      </c>
      <c r="N13" s="103">
        <v>0</v>
      </c>
      <c r="O13" s="112">
        <v>0</v>
      </c>
      <c r="P13" s="103">
        <v>0</v>
      </c>
      <c r="Q13" s="112">
        <v>0</v>
      </c>
      <c r="R13" s="103">
        <v>0</v>
      </c>
      <c r="S13" s="112">
        <v>0</v>
      </c>
      <c r="T13" s="103">
        <v>0</v>
      </c>
      <c r="U13" s="157">
        <v>0</v>
      </c>
      <c r="V13" s="103">
        <v>0</v>
      </c>
      <c r="W13" s="112">
        <v>0</v>
      </c>
      <c r="X13" s="103">
        <v>0</v>
      </c>
      <c r="Y13" s="112">
        <v>0</v>
      </c>
      <c r="Z13" s="103">
        <v>0</v>
      </c>
      <c r="AA13" s="112">
        <v>0</v>
      </c>
      <c r="AB13" s="103">
        <v>0</v>
      </c>
      <c r="AC13" s="112">
        <v>0</v>
      </c>
      <c r="AD13" s="103">
        <v>0</v>
      </c>
      <c r="AE13" s="112">
        <v>0</v>
      </c>
      <c r="AF13" s="103">
        <v>0</v>
      </c>
      <c r="AG13" s="112">
        <v>0</v>
      </c>
      <c r="AH13" s="103">
        <v>0</v>
      </c>
      <c r="AI13" s="112">
        <v>0</v>
      </c>
      <c r="AJ13" s="103">
        <v>0</v>
      </c>
      <c r="AK13" s="112">
        <v>0</v>
      </c>
      <c r="AL13" s="103">
        <v>0</v>
      </c>
      <c r="AM13" s="112">
        <v>0</v>
      </c>
      <c r="AN13" s="103">
        <v>0</v>
      </c>
      <c r="AO13" s="112">
        <v>0</v>
      </c>
      <c r="AP13" s="103">
        <v>0</v>
      </c>
      <c r="AQ13" s="112">
        <v>0</v>
      </c>
      <c r="AR13" s="103">
        <v>0</v>
      </c>
      <c r="AS13" s="112">
        <v>0</v>
      </c>
      <c r="AT13" s="103">
        <v>0</v>
      </c>
      <c r="AU13" s="112">
        <v>0</v>
      </c>
      <c r="AV13" s="103">
        <v>0</v>
      </c>
      <c r="AW13" s="112">
        <v>0</v>
      </c>
      <c r="AX13" s="103">
        <v>0</v>
      </c>
      <c r="AY13" s="112">
        <v>0</v>
      </c>
      <c r="AZ13" s="103">
        <v>0</v>
      </c>
      <c r="BA13" s="112">
        <v>0</v>
      </c>
      <c r="BB13" s="103">
        <v>0</v>
      </c>
      <c r="BC13" s="112">
        <v>0</v>
      </c>
      <c r="BD13" s="103">
        <v>0</v>
      </c>
      <c r="BE13" s="112">
        <v>0</v>
      </c>
      <c r="BF13" s="103">
        <v>0</v>
      </c>
      <c r="BG13" s="112">
        <v>0</v>
      </c>
      <c r="BH13" s="103">
        <v>0</v>
      </c>
      <c r="BI13" s="112">
        <v>0</v>
      </c>
      <c r="BJ13" s="103">
        <v>0</v>
      </c>
      <c r="BK13" s="112">
        <v>0</v>
      </c>
      <c r="BL13" s="103">
        <v>0</v>
      </c>
      <c r="BM13" s="112">
        <v>0</v>
      </c>
      <c r="BN13" s="103">
        <v>0</v>
      </c>
      <c r="BO13" s="112">
        <v>0</v>
      </c>
      <c r="BP13" s="103">
        <v>0</v>
      </c>
      <c r="BQ13" s="112">
        <v>0</v>
      </c>
      <c r="BR13" s="103">
        <v>0</v>
      </c>
      <c r="BS13" s="112">
        <v>0</v>
      </c>
      <c r="BT13" s="103">
        <v>0</v>
      </c>
      <c r="BU13" s="112">
        <v>0</v>
      </c>
      <c r="BV13" s="103">
        <v>0</v>
      </c>
      <c r="BW13" s="161"/>
      <c r="BX13" s="161"/>
      <c r="CA13" s="2" t="s">
        <v>477</v>
      </c>
      <c r="CD13" s="111">
        <v>0</v>
      </c>
      <c r="CE13" s="103">
        <v>0</v>
      </c>
      <c r="CF13" s="112">
        <v>0</v>
      </c>
      <c r="CG13" s="103">
        <v>0</v>
      </c>
      <c r="CH13" s="112">
        <v>0</v>
      </c>
      <c r="CI13" s="103">
        <v>0</v>
      </c>
      <c r="CJ13" s="112">
        <v>0</v>
      </c>
      <c r="CK13" s="103">
        <v>0</v>
      </c>
      <c r="CL13" s="112">
        <v>0</v>
      </c>
      <c r="CM13" s="103">
        <v>0</v>
      </c>
      <c r="CN13" s="112">
        <v>0</v>
      </c>
      <c r="CO13" s="103">
        <v>0</v>
      </c>
      <c r="CP13" s="112">
        <v>0</v>
      </c>
      <c r="CQ13" s="103">
        <v>0</v>
      </c>
      <c r="CR13" s="112">
        <v>0</v>
      </c>
      <c r="CS13" s="103">
        <v>0</v>
      </c>
      <c r="CT13" s="112">
        <v>0</v>
      </c>
      <c r="CU13" s="103">
        <v>0</v>
      </c>
      <c r="CV13" s="112">
        <v>0</v>
      </c>
      <c r="CW13" s="103">
        <v>0</v>
      </c>
      <c r="CX13" s="112">
        <v>0</v>
      </c>
      <c r="CY13" s="103">
        <v>0</v>
      </c>
      <c r="CZ13" s="112">
        <v>0</v>
      </c>
      <c r="DA13" s="103">
        <v>0</v>
      </c>
      <c r="DB13" s="112">
        <v>0</v>
      </c>
      <c r="DC13" s="103">
        <v>0</v>
      </c>
      <c r="DD13" s="112">
        <v>0</v>
      </c>
      <c r="DE13" s="103">
        <v>0</v>
      </c>
      <c r="DF13" s="112">
        <v>0</v>
      </c>
      <c r="DG13" s="103">
        <v>0</v>
      </c>
      <c r="DH13" s="112">
        <v>0</v>
      </c>
      <c r="DI13" s="103">
        <v>0</v>
      </c>
      <c r="DJ13" s="112">
        <v>0</v>
      </c>
      <c r="DK13" s="103">
        <v>0</v>
      </c>
      <c r="DL13" s="112">
        <v>0</v>
      </c>
      <c r="DM13" s="103">
        <v>0</v>
      </c>
      <c r="DN13" s="112">
        <v>0</v>
      </c>
      <c r="DO13" s="103">
        <v>0</v>
      </c>
      <c r="DP13" s="112">
        <v>0</v>
      </c>
      <c r="DQ13" s="103">
        <v>0</v>
      </c>
      <c r="DR13" s="112">
        <v>0</v>
      </c>
      <c r="DS13" s="103">
        <v>0</v>
      </c>
      <c r="DT13" s="112">
        <v>0</v>
      </c>
      <c r="DU13" s="103">
        <v>0</v>
      </c>
      <c r="DV13" s="112">
        <v>0</v>
      </c>
      <c r="DW13" s="103">
        <v>0</v>
      </c>
      <c r="DX13" s="112">
        <v>0</v>
      </c>
      <c r="DY13" s="103">
        <v>0</v>
      </c>
      <c r="DZ13" s="112">
        <v>0</v>
      </c>
      <c r="EA13" s="103">
        <v>0</v>
      </c>
      <c r="EB13" s="112">
        <v>0</v>
      </c>
      <c r="EC13" s="103">
        <v>0</v>
      </c>
      <c r="ED13" s="112">
        <v>0</v>
      </c>
      <c r="EE13" s="103">
        <v>0</v>
      </c>
    </row>
    <row r="14" spans="1:135" x14ac:dyDescent="0.35">
      <c r="C14" s="129"/>
      <c r="D14" s="122" t="s">
        <v>123</v>
      </c>
      <c r="E14" s="114">
        <v>0</v>
      </c>
      <c r="F14" s="49">
        <v>0</v>
      </c>
      <c r="G14" s="114">
        <v>0</v>
      </c>
      <c r="H14" s="49">
        <v>0</v>
      </c>
      <c r="I14" s="114">
        <v>0</v>
      </c>
      <c r="J14" s="49">
        <v>0</v>
      </c>
      <c r="K14" s="114">
        <v>0</v>
      </c>
      <c r="L14" s="49">
        <v>0</v>
      </c>
      <c r="M14" s="114">
        <v>0</v>
      </c>
      <c r="N14" s="49">
        <v>0</v>
      </c>
      <c r="O14" s="114">
        <v>0</v>
      </c>
      <c r="P14" s="49">
        <v>0</v>
      </c>
      <c r="Q14" s="114">
        <v>0</v>
      </c>
      <c r="R14" s="49">
        <v>0</v>
      </c>
      <c r="S14" s="113">
        <v>0</v>
      </c>
      <c r="T14" s="49">
        <v>0</v>
      </c>
      <c r="U14" s="50">
        <v>0</v>
      </c>
      <c r="V14" s="49">
        <v>0</v>
      </c>
      <c r="W14" s="113">
        <v>0</v>
      </c>
      <c r="X14" s="49">
        <v>0</v>
      </c>
      <c r="Y14" s="113">
        <v>0</v>
      </c>
      <c r="Z14" s="49">
        <v>0</v>
      </c>
      <c r="AA14" s="113">
        <v>0</v>
      </c>
      <c r="AB14" s="49">
        <v>0</v>
      </c>
      <c r="AC14" s="113">
        <v>0</v>
      </c>
      <c r="AD14" s="49">
        <v>0</v>
      </c>
      <c r="AE14" s="113">
        <v>0</v>
      </c>
      <c r="AF14" s="49">
        <v>0</v>
      </c>
      <c r="AG14" s="113">
        <v>0</v>
      </c>
      <c r="AH14" s="49">
        <v>0</v>
      </c>
      <c r="AI14" s="113">
        <v>0</v>
      </c>
      <c r="AJ14" s="49">
        <v>0</v>
      </c>
      <c r="AK14" s="113">
        <v>0</v>
      </c>
      <c r="AL14" s="49">
        <v>0</v>
      </c>
      <c r="AM14" s="113">
        <v>0</v>
      </c>
      <c r="AN14" s="49">
        <v>0</v>
      </c>
      <c r="AO14" s="113">
        <v>0</v>
      </c>
      <c r="AP14" s="49">
        <v>0</v>
      </c>
      <c r="AQ14" s="113">
        <v>0</v>
      </c>
      <c r="AR14" s="49">
        <v>0</v>
      </c>
      <c r="AS14" s="113">
        <v>0</v>
      </c>
      <c r="AT14" s="49">
        <v>0</v>
      </c>
      <c r="AU14" s="113">
        <v>0</v>
      </c>
      <c r="AV14" s="49">
        <v>0</v>
      </c>
      <c r="AW14" s="113">
        <v>0</v>
      </c>
      <c r="AX14" s="49">
        <v>0</v>
      </c>
      <c r="AY14" s="113">
        <v>0</v>
      </c>
      <c r="AZ14" s="49">
        <v>0</v>
      </c>
      <c r="BA14" s="113">
        <v>0</v>
      </c>
      <c r="BB14" s="49">
        <v>0</v>
      </c>
      <c r="BC14" s="113">
        <v>0</v>
      </c>
      <c r="BD14" s="49">
        <v>0</v>
      </c>
      <c r="BE14" s="113">
        <v>0</v>
      </c>
      <c r="BF14" s="49">
        <v>0</v>
      </c>
      <c r="BG14" s="113">
        <v>0</v>
      </c>
      <c r="BH14" s="49">
        <v>0</v>
      </c>
      <c r="BI14" s="113">
        <v>0</v>
      </c>
      <c r="BJ14" s="49">
        <v>0</v>
      </c>
      <c r="BK14" s="113">
        <v>0</v>
      </c>
      <c r="BL14" s="49">
        <v>0</v>
      </c>
      <c r="BM14" s="113">
        <v>0</v>
      </c>
      <c r="BN14" s="49">
        <v>0</v>
      </c>
      <c r="BO14" s="113">
        <v>0</v>
      </c>
      <c r="BP14" s="49">
        <v>0</v>
      </c>
      <c r="BQ14" s="113">
        <v>0</v>
      </c>
      <c r="BR14" s="49">
        <v>0</v>
      </c>
      <c r="BS14" s="113">
        <v>0</v>
      </c>
      <c r="BT14" s="49">
        <v>0</v>
      </c>
      <c r="BU14" s="113">
        <v>0</v>
      </c>
      <c r="BV14" s="49">
        <v>0</v>
      </c>
      <c r="BW14" s="161"/>
      <c r="BX14" s="161"/>
      <c r="CD14" s="104">
        <v>0</v>
      </c>
      <c r="CE14" s="49">
        <v>0</v>
      </c>
      <c r="CF14" s="113">
        <v>0</v>
      </c>
      <c r="CG14" s="49">
        <v>0</v>
      </c>
      <c r="CH14" s="113">
        <v>0</v>
      </c>
      <c r="CI14" s="49">
        <v>0</v>
      </c>
      <c r="CJ14" s="113">
        <v>0</v>
      </c>
      <c r="CK14" s="49">
        <v>0</v>
      </c>
      <c r="CL14" s="113">
        <v>0</v>
      </c>
      <c r="CM14" s="49">
        <v>0</v>
      </c>
      <c r="CN14" s="113">
        <v>0</v>
      </c>
      <c r="CO14" s="49">
        <v>0</v>
      </c>
      <c r="CP14" s="113">
        <v>0</v>
      </c>
      <c r="CQ14" s="49">
        <v>0</v>
      </c>
      <c r="CR14" s="113">
        <v>0</v>
      </c>
      <c r="CS14" s="49">
        <v>0</v>
      </c>
      <c r="CT14" s="113">
        <v>0</v>
      </c>
      <c r="CU14" s="49">
        <v>0</v>
      </c>
      <c r="CV14" s="113">
        <v>0</v>
      </c>
      <c r="CW14" s="49">
        <v>0</v>
      </c>
      <c r="CX14" s="113">
        <v>0</v>
      </c>
      <c r="CY14" s="49">
        <v>0</v>
      </c>
      <c r="CZ14" s="113">
        <v>0</v>
      </c>
      <c r="DA14" s="49">
        <v>0</v>
      </c>
      <c r="DB14" s="113">
        <v>0</v>
      </c>
      <c r="DC14" s="49">
        <v>0</v>
      </c>
      <c r="DD14" s="113">
        <v>0</v>
      </c>
      <c r="DE14" s="49">
        <v>0</v>
      </c>
      <c r="DF14" s="113">
        <v>0</v>
      </c>
      <c r="DG14" s="49">
        <v>0</v>
      </c>
      <c r="DH14" s="113">
        <v>0</v>
      </c>
      <c r="DI14" s="49">
        <v>0</v>
      </c>
      <c r="DJ14" s="113">
        <v>0</v>
      </c>
      <c r="DK14" s="49">
        <v>0</v>
      </c>
      <c r="DL14" s="113">
        <v>0</v>
      </c>
      <c r="DM14" s="49">
        <v>0</v>
      </c>
      <c r="DN14" s="113">
        <v>0</v>
      </c>
      <c r="DO14" s="49">
        <v>0</v>
      </c>
      <c r="DP14" s="113">
        <v>0</v>
      </c>
      <c r="DQ14" s="49">
        <v>0</v>
      </c>
      <c r="DR14" s="113">
        <v>0</v>
      </c>
      <c r="DS14" s="49">
        <v>0</v>
      </c>
      <c r="DT14" s="113">
        <v>0</v>
      </c>
      <c r="DU14" s="49">
        <v>0</v>
      </c>
      <c r="DV14" s="113">
        <v>0</v>
      </c>
      <c r="DW14" s="49">
        <v>0</v>
      </c>
      <c r="DX14" s="113">
        <v>0</v>
      </c>
      <c r="DY14" s="49">
        <v>0</v>
      </c>
      <c r="DZ14" s="113">
        <v>0</v>
      </c>
      <c r="EA14" s="49">
        <v>0</v>
      </c>
      <c r="EB14" s="113">
        <v>0</v>
      </c>
      <c r="EC14" s="49">
        <v>0</v>
      </c>
      <c r="ED14" s="113">
        <v>0</v>
      </c>
      <c r="EE14" s="49">
        <v>0</v>
      </c>
    </row>
    <row r="15" spans="1:135" x14ac:dyDescent="0.35">
      <c r="A15" s="142"/>
      <c r="C15" s="129"/>
      <c r="D15" s="127" t="s">
        <v>126</v>
      </c>
      <c r="E15" s="114">
        <v>4.3300000000000001E-4</v>
      </c>
      <c r="F15" s="49">
        <v>9.971517240085217E-4</v>
      </c>
      <c r="G15" s="114">
        <v>6.1399999999999996E-4</v>
      </c>
      <c r="H15" s="49">
        <v>1.4117601098051634E-3</v>
      </c>
      <c r="I15" s="114">
        <v>6.02E-4</v>
      </c>
      <c r="J15" s="49">
        <v>1.373988538529602E-3</v>
      </c>
      <c r="K15" s="114">
        <v>5.1999999999999995E-4</v>
      </c>
      <c r="L15" s="49">
        <v>1.2640406634818594E-3</v>
      </c>
      <c r="M15" s="114">
        <v>4.9200000000000003E-4</v>
      </c>
      <c r="N15" s="49">
        <v>1.1364535374195264E-3</v>
      </c>
      <c r="O15" s="114">
        <v>8.9999999999999998E-4</v>
      </c>
      <c r="P15" s="49">
        <v>1.9580921796309835E-3</v>
      </c>
      <c r="Q15" s="114">
        <v>6.0899999999999995E-4</v>
      </c>
      <c r="R15" s="49">
        <v>1.3491332761627998E-3</v>
      </c>
      <c r="S15" s="114">
        <v>6.2599999999999999E-3</v>
      </c>
      <c r="T15" s="49">
        <v>1.0250615896630517E-2</v>
      </c>
      <c r="U15" s="114">
        <v>6.3133333333333336E-4</v>
      </c>
      <c r="V15" s="49">
        <v>1.292810968229109E-3</v>
      </c>
      <c r="W15" s="114">
        <v>8.1499999999999997E-4</v>
      </c>
      <c r="X15" s="49">
        <v>1.7020285102646859E-3</v>
      </c>
      <c r="Y15" s="114">
        <v>9.1799999999999998E-4</v>
      </c>
      <c r="Z15" s="49">
        <v>1.9792608288434223E-3</v>
      </c>
      <c r="AA15" s="114">
        <v>6.2200000000000005E-4</v>
      </c>
      <c r="AB15" s="49">
        <v>1.2894177621515792E-3</v>
      </c>
      <c r="AC15" s="114">
        <v>0</v>
      </c>
      <c r="AD15" s="49">
        <v>0</v>
      </c>
      <c r="AE15" s="114">
        <v>0</v>
      </c>
      <c r="AF15" s="49">
        <v>0</v>
      </c>
      <c r="AG15" s="114">
        <v>0</v>
      </c>
      <c r="AH15" s="49">
        <v>0</v>
      </c>
      <c r="AI15" s="114">
        <v>0</v>
      </c>
      <c r="AJ15" s="49">
        <v>0</v>
      </c>
      <c r="AK15" s="114">
        <v>0</v>
      </c>
      <c r="AL15" s="49">
        <v>0</v>
      </c>
      <c r="AM15" s="114">
        <v>0</v>
      </c>
      <c r="AN15" s="49">
        <v>0</v>
      </c>
      <c r="AO15" s="114">
        <v>0</v>
      </c>
      <c r="AP15" s="49">
        <v>0</v>
      </c>
      <c r="AQ15" s="114">
        <v>0</v>
      </c>
      <c r="AR15" s="49">
        <v>0</v>
      </c>
      <c r="AS15" s="114">
        <v>3.3700000000000001E-4</v>
      </c>
      <c r="AT15" s="49">
        <v>7.6096806180071537E-4</v>
      </c>
      <c r="AU15" s="114">
        <v>0</v>
      </c>
      <c r="AV15" s="49">
        <v>0</v>
      </c>
      <c r="AW15" s="114">
        <v>3.2600000000000001E-4</v>
      </c>
      <c r="AX15" s="49">
        <v>7.28836784615098E-4</v>
      </c>
      <c r="AY15" s="114">
        <v>8.9599999999999999E-4</v>
      </c>
      <c r="AZ15" s="49">
        <v>2.3148913222973454E-3</v>
      </c>
      <c r="BA15" s="114">
        <v>9.4399999999999996E-4</v>
      </c>
      <c r="BB15" s="49">
        <v>2.446832243423984E-3</v>
      </c>
      <c r="BC15" s="114">
        <v>1.3630000000000001E-3</v>
      </c>
      <c r="BD15" s="49">
        <v>3.5165579833063721E-3</v>
      </c>
      <c r="BE15" s="114">
        <v>1.0820000000000001E-3</v>
      </c>
      <c r="BF15" s="49">
        <v>2.772348794813805E-3</v>
      </c>
      <c r="BG15" s="114">
        <v>9.4300000000000004E-4</v>
      </c>
      <c r="BH15" s="49">
        <v>2.4178696136716686E-3</v>
      </c>
      <c r="BI15" s="114">
        <v>0</v>
      </c>
      <c r="BJ15" s="49">
        <v>0</v>
      </c>
      <c r="BK15" s="114">
        <v>3.2600000000000001E-4</v>
      </c>
      <c r="BL15" s="49">
        <v>6.6944884398250422E-4</v>
      </c>
      <c r="BM15" s="114">
        <v>7.3700000000000002E-4</v>
      </c>
      <c r="BN15" s="49">
        <v>1.5480375398454795E-3</v>
      </c>
      <c r="BO15" s="114">
        <v>0</v>
      </c>
      <c r="BP15" s="49">
        <v>0</v>
      </c>
      <c r="BQ15" s="114">
        <v>0</v>
      </c>
      <c r="BR15" s="49">
        <v>0</v>
      </c>
      <c r="BS15" s="114">
        <v>0</v>
      </c>
      <c r="BT15" s="49">
        <v>0</v>
      </c>
      <c r="BU15" s="114">
        <v>7.7800000000000005E-4</v>
      </c>
      <c r="BV15" s="49">
        <v>1.932183405998311E-3</v>
      </c>
      <c r="BW15" s="161"/>
      <c r="BX15" s="161"/>
      <c r="CD15" s="105">
        <v>6.3133333333333336E-4</v>
      </c>
      <c r="CE15" s="49">
        <v>1.292810968229109E-3</v>
      </c>
      <c r="CF15" s="114">
        <v>8.1499999999999997E-4</v>
      </c>
      <c r="CG15" s="49">
        <v>1.7020285102646859E-3</v>
      </c>
      <c r="CH15" s="114">
        <v>9.1799999999999998E-4</v>
      </c>
      <c r="CI15" s="49">
        <v>1.9792608288434223E-3</v>
      </c>
      <c r="CJ15" s="114">
        <v>6.2200000000000005E-4</v>
      </c>
      <c r="CK15" s="49">
        <v>1.2894177621515792E-3</v>
      </c>
      <c r="CL15" s="114">
        <v>0</v>
      </c>
      <c r="CM15" s="49">
        <v>0</v>
      </c>
      <c r="CN15" s="114">
        <v>0</v>
      </c>
      <c r="CO15" s="49">
        <v>0</v>
      </c>
      <c r="CP15" s="114">
        <v>0</v>
      </c>
      <c r="CQ15" s="49">
        <v>0</v>
      </c>
      <c r="CR15" s="114">
        <v>0</v>
      </c>
      <c r="CS15" s="49">
        <v>0</v>
      </c>
      <c r="CT15" s="114">
        <v>0</v>
      </c>
      <c r="CU15" s="49">
        <v>0</v>
      </c>
      <c r="CV15" s="114">
        <v>0</v>
      </c>
      <c r="CW15" s="49">
        <v>0</v>
      </c>
      <c r="CX15" s="114">
        <v>0</v>
      </c>
      <c r="CY15" s="49">
        <v>0</v>
      </c>
      <c r="CZ15" s="114">
        <v>0</v>
      </c>
      <c r="DA15" s="49">
        <v>0</v>
      </c>
      <c r="DB15" s="114">
        <v>3.3700000000000001E-4</v>
      </c>
      <c r="DC15" s="49">
        <v>7.6096806180071537E-4</v>
      </c>
      <c r="DD15" s="114">
        <v>0</v>
      </c>
      <c r="DE15" s="49">
        <v>0</v>
      </c>
      <c r="DF15" s="114">
        <v>3.2600000000000001E-4</v>
      </c>
      <c r="DG15" s="49">
        <v>7.28836784615098E-4</v>
      </c>
      <c r="DH15" s="114">
        <v>8.9599999999999999E-4</v>
      </c>
      <c r="DI15" s="49">
        <v>2.3148913222973454E-3</v>
      </c>
      <c r="DJ15" s="114">
        <v>9.4399999999999996E-4</v>
      </c>
      <c r="DK15" s="49">
        <v>2.446832243423984E-3</v>
      </c>
      <c r="DL15" s="114">
        <v>1.3630000000000001E-3</v>
      </c>
      <c r="DM15" s="49">
        <v>3.5165579833063721E-3</v>
      </c>
      <c r="DN15" s="114">
        <v>1.0820000000000001E-3</v>
      </c>
      <c r="DO15" s="49">
        <v>2.772348794813805E-3</v>
      </c>
      <c r="DP15" s="114">
        <v>9.4300000000000004E-4</v>
      </c>
      <c r="DQ15" s="49">
        <v>2.4178696136716686E-3</v>
      </c>
      <c r="DR15" s="114">
        <v>0</v>
      </c>
      <c r="DS15" s="49">
        <v>0</v>
      </c>
      <c r="DT15" s="114">
        <v>3.2600000000000001E-4</v>
      </c>
      <c r="DU15" s="49">
        <v>6.6944884398250422E-4</v>
      </c>
      <c r="DV15" s="114">
        <v>7.3700000000000002E-4</v>
      </c>
      <c r="DW15" s="49">
        <v>1.5480375398454795E-3</v>
      </c>
      <c r="DX15" s="114">
        <v>0</v>
      </c>
      <c r="DY15" s="49">
        <v>0</v>
      </c>
      <c r="DZ15" s="114">
        <v>0</v>
      </c>
      <c r="EA15" s="49">
        <v>0</v>
      </c>
      <c r="EB15" s="114">
        <v>0</v>
      </c>
      <c r="EC15" s="49">
        <v>0</v>
      </c>
      <c r="ED15" s="114">
        <v>7.7800000000000005E-4</v>
      </c>
      <c r="EE15" s="49">
        <v>1.932183405998311E-3</v>
      </c>
    </row>
    <row r="16" spans="1:135" x14ac:dyDescent="0.35">
      <c r="A16" s="142">
        <f>14.0067*2</f>
        <v>28.013400000000001</v>
      </c>
      <c r="C16" s="130" t="s">
        <v>124</v>
      </c>
      <c r="D16" s="99" t="s">
        <v>195</v>
      </c>
      <c r="E16" s="115">
        <v>2.7690000000000002E-3</v>
      </c>
      <c r="F16" s="49">
        <v>4.0589686024743374E-3</v>
      </c>
      <c r="G16" s="115">
        <v>2.9160000000000002E-3</v>
      </c>
      <c r="H16" s="49">
        <v>4.2677546384291016E-3</v>
      </c>
      <c r="I16" s="115">
        <v>2.9380000000000001E-3</v>
      </c>
      <c r="J16" s="49">
        <v>4.2683281257406809E-3</v>
      </c>
      <c r="K16" s="115">
        <v>2.7669999999999999E-3</v>
      </c>
      <c r="L16" s="49">
        <v>4.2814043773255674E-3</v>
      </c>
      <c r="M16" s="115">
        <v>2.764E-3</v>
      </c>
      <c r="N16" s="49">
        <v>4.0639093203689068E-3</v>
      </c>
      <c r="O16" s="115">
        <v>3.3E-3</v>
      </c>
      <c r="P16" s="49">
        <v>4.5700815665831278E-3</v>
      </c>
      <c r="Q16" s="115">
        <v>2.8319999999999999E-3</v>
      </c>
      <c r="R16" s="49">
        <v>3.9934679074077294E-3</v>
      </c>
      <c r="S16" s="115">
        <v>0</v>
      </c>
      <c r="T16" s="49">
        <v>0</v>
      </c>
      <c r="U16" s="115">
        <v>4.2581666666666662E-3</v>
      </c>
      <c r="V16" s="49">
        <v>5.5503242078128127E-3</v>
      </c>
      <c r="W16" s="115">
        <v>4.8589999999999996E-3</v>
      </c>
      <c r="X16" s="49">
        <v>6.4591520633352226E-3</v>
      </c>
      <c r="Y16" s="115">
        <v>3.9919999999999999E-3</v>
      </c>
      <c r="Z16" s="49">
        <v>5.478608528012842E-3</v>
      </c>
      <c r="AA16" s="115">
        <v>5.1349999999999998E-3</v>
      </c>
      <c r="AB16" s="49">
        <v>6.775839336243498E-3</v>
      </c>
      <c r="AC16" s="115">
        <v>3.506E-3</v>
      </c>
      <c r="AD16" s="49">
        <v>4.3986564896401634E-3</v>
      </c>
      <c r="AE16" s="115">
        <v>8.4580000000000002E-3</v>
      </c>
      <c r="AF16" s="49">
        <v>1.224353416098445E-2</v>
      </c>
      <c r="AG16" s="115">
        <v>4.0850000000000001E-3</v>
      </c>
      <c r="AH16" s="49">
        <v>5.5983742020825431E-3</v>
      </c>
      <c r="AI16" s="115">
        <v>4.5199999999999997E-3</v>
      </c>
      <c r="AJ16" s="49">
        <v>6.2110478302922533E-3</v>
      </c>
      <c r="AK16" s="115">
        <v>3.1359999999999999E-3</v>
      </c>
      <c r="AL16" s="49">
        <v>4.1054395149552059E-3</v>
      </c>
      <c r="AM16" s="115">
        <v>3.5079999999999998E-3</v>
      </c>
      <c r="AN16" s="49">
        <v>4.6830096191434883E-3</v>
      </c>
      <c r="AO16" s="115">
        <v>3.3730000000000001E-3</v>
      </c>
      <c r="AP16" s="49">
        <v>4.7312690683874977E-3</v>
      </c>
      <c r="AQ16" s="115">
        <v>3.9740000000000001E-3</v>
      </c>
      <c r="AR16" s="49">
        <v>5.5313418169036744E-3</v>
      </c>
      <c r="AS16" s="115">
        <v>3.8E-3</v>
      </c>
      <c r="AT16" s="49">
        <v>5.4618467876188593E-3</v>
      </c>
      <c r="AU16" s="115">
        <v>5.9540000000000001E-3</v>
      </c>
      <c r="AV16" s="49">
        <v>9.075467918784122E-3</v>
      </c>
      <c r="AW16" s="115">
        <v>3.9029999999999998E-3</v>
      </c>
      <c r="AX16" s="49">
        <v>5.5543164920038588E-3</v>
      </c>
      <c r="AY16" s="115">
        <v>2.7109999999999999E-3</v>
      </c>
      <c r="AZ16" s="49">
        <v>4.4583227281074179E-3</v>
      </c>
      <c r="BA16" s="115">
        <v>2.1380000000000001E-3</v>
      </c>
      <c r="BB16" s="49">
        <v>3.5274371906277961E-3</v>
      </c>
      <c r="BC16" s="115">
        <v>2.0579999999999999E-3</v>
      </c>
      <c r="BD16" s="49">
        <v>3.3797664101164241E-3</v>
      </c>
      <c r="BE16" s="115">
        <v>3.0769999999999999E-3</v>
      </c>
      <c r="BF16" s="49">
        <v>5.0184256280454012E-3</v>
      </c>
      <c r="BG16" s="115">
        <v>3.869E-3</v>
      </c>
      <c r="BH16" s="49">
        <v>6.3145048679117168E-3</v>
      </c>
      <c r="BI16" s="115">
        <v>5.855E-3</v>
      </c>
      <c r="BJ16" s="49">
        <v>8.1792670897125139E-3</v>
      </c>
      <c r="BK16" s="115">
        <v>3.5200000000000001E-3</v>
      </c>
      <c r="BL16" s="49">
        <v>4.6011018553780312E-3</v>
      </c>
      <c r="BM16" s="115">
        <v>3.8939999999999999E-3</v>
      </c>
      <c r="BN16" s="49">
        <v>5.2063017485615478E-3</v>
      </c>
      <c r="BO16" s="115">
        <v>3.32E-3</v>
      </c>
      <c r="BP16" s="49">
        <v>3.8738244575832461E-3</v>
      </c>
      <c r="BQ16" s="115">
        <v>4.653E-3</v>
      </c>
      <c r="BR16" s="49">
        <v>6.0759695283330055E-3</v>
      </c>
      <c r="BS16" s="115">
        <v>3.7460000000000002E-3</v>
      </c>
      <c r="BT16" s="49">
        <v>4.8217124762589582E-3</v>
      </c>
      <c r="BU16" s="115">
        <v>3.1549999999999998E-3</v>
      </c>
      <c r="BV16" s="49">
        <v>4.9875527576920447E-3</v>
      </c>
      <c r="BW16" s="161"/>
      <c r="BX16" s="161"/>
      <c r="CD16" s="106">
        <v>4.2581666666666662E-3</v>
      </c>
      <c r="CE16" s="49">
        <v>5.5503242078128127E-3</v>
      </c>
      <c r="CF16" s="115">
        <v>4.8589999999999996E-3</v>
      </c>
      <c r="CG16" s="49">
        <v>6.4591520633352226E-3</v>
      </c>
      <c r="CH16" s="115">
        <v>3.9919999999999999E-3</v>
      </c>
      <c r="CI16" s="49">
        <v>5.478608528012842E-3</v>
      </c>
      <c r="CJ16" s="115">
        <v>5.1349999999999998E-3</v>
      </c>
      <c r="CK16" s="49">
        <v>6.775839336243498E-3</v>
      </c>
      <c r="CL16" s="115">
        <v>3.506E-3</v>
      </c>
      <c r="CM16" s="49">
        <v>4.3986564896401634E-3</v>
      </c>
      <c r="CN16" s="115">
        <v>8.4580000000000002E-3</v>
      </c>
      <c r="CO16" s="49">
        <v>1.224353416098445E-2</v>
      </c>
      <c r="CP16" s="115">
        <v>4.0850000000000001E-3</v>
      </c>
      <c r="CQ16" s="49">
        <v>5.5983742020825431E-3</v>
      </c>
      <c r="CR16" s="115">
        <v>4.5199999999999997E-3</v>
      </c>
      <c r="CS16" s="49">
        <v>6.2110478302922533E-3</v>
      </c>
      <c r="CT16" s="115">
        <v>3.1359999999999999E-3</v>
      </c>
      <c r="CU16" s="49">
        <v>4.1054395149552059E-3</v>
      </c>
      <c r="CV16" s="115">
        <v>3.5079999999999998E-3</v>
      </c>
      <c r="CW16" s="49">
        <v>4.6830096191434883E-3</v>
      </c>
      <c r="CX16" s="115">
        <v>3.3730000000000001E-3</v>
      </c>
      <c r="CY16" s="49">
        <v>4.7312690683874977E-3</v>
      </c>
      <c r="CZ16" s="115">
        <v>3.9740000000000001E-3</v>
      </c>
      <c r="DA16" s="49">
        <v>5.5313418169036744E-3</v>
      </c>
      <c r="DB16" s="115">
        <v>3.8E-3</v>
      </c>
      <c r="DC16" s="49">
        <v>5.4618467876188593E-3</v>
      </c>
      <c r="DD16" s="115">
        <v>5.9540000000000001E-3</v>
      </c>
      <c r="DE16" s="49">
        <v>9.075467918784122E-3</v>
      </c>
      <c r="DF16" s="115">
        <v>3.9029999999999998E-3</v>
      </c>
      <c r="DG16" s="49">
        <v>5.5543164920038588E-3</v>
      </c>
      <c r="DH16" s="115">
        <v>2.7109999999999999E-3</v>
      </c>
      <c r="DI16" s="49">
        <v>4.4583227281074179E-3</v>
      </c>
      <c r="DJ16" s="115">
        <v>2.1380000000000001E-3</v>
      </c>
      <c r="DK16" s="49">
        <v>3.5274371906277961E-3</v>
      </c>
      <c r="DL16" s="115">
        <v>2.0579999999999999E-3</v>
      </c>
      <c r="DM16" s="49">
        <v>3.3797664101164241E-3</v>
      </c>
      <c r="DN16" s="115">
        <v>3.0769999999999999E-3</v>
      </c>
      <c r="DO16" s="49">
        <v>5.0184256280454012E-3</v>
      </c>
      <c r="DP16" s="115">
        <v>3.869E-3</v>
      </c>
      <c r="DQ16" s="49">
        <v>6.3145048679117168E-3</v>
      </c>
      <c r="DR16" s="115">
        <v>5.855E-3</v>
      </c>
      <c r="DS16" s="49">
        <v>8.1792670897125139E-3</v>
      </c>
      <c r="DT16" s="115">
        <v>3.5200000000000001E-3</v>
      </c>
      <c r="DU16" s="49">
        <v>4.6011018553780312E-3</v>
      </c>
      <c r="DV16" s="115">
        <v>3.8939999999999999E-3</v>
      </c>
      <c r="DW16" s="49">
        <v>5.2063017485615478E-3</v>
      </c>
      <c r="DX16" s="115">
        <v>3.32E-3</v>
      </c>
      <c r="DY16" s="49">
        <v>3.8738244575832461E-3</v>
      </c>
      <c r="DZ16" s="115">
        <v>4.653E-3</v>
      </c>
      <c r="EA16" s="49">
        <v>6.0759695283330055E-3</v>
      </c>
      <c r="EB16" s="115">
        <v>3.7460000000000002E-3</v>
      </c>
      <c r="EC16" s="49">
        <v>4.8217124762589582E-3</v>
      </c>
      <c r="ED16" s="115">
        <v>3.1549999999999998E-3</v>
      </c>
      <c r="EE16" s="49">
        <v>4.9875527576920447E-3</v>
      </c>
    </row>
    <row r="17" spans="1:135" x14ac:dyDescent="0.35">
      <c r="A17" s="142">
        <f>15.9994*2</f>
        <v>31.998799999999999</v>
      </c>
      <c r="C17" s="130" t="s">
        <v>125</v>
      </c>
      <c r="D17" s="99" t="s">
        <v>196</v>
      </c>
      <c r="E17" s="116">
        <v>0</v>
      </c>
      <c r="F17" s="49">
        <v>0</v>
      </c>
      <c r="G17" s="116">
        <v>0</v>
      </c>
      <c r="H17" s="49">
        <v>0</v>
      </c>
      <c r="I17" s="116">
        <v>0</v>
      </c>
      <c r="J17" s="49">
        <v>0</v>
      </c>
      <c r="K17" s="116">
        <v>0</v>
      </c>
      <c r="L17" s="49">
        <v>0</v>
      </c>
      <c r="M17" s="116">
        <v>0</v>
      </c>
      <c r="N17" s="49">
        <v>0</v>
      </c>
      <c r="O17" s="116">
        <v>0</v>
      </c>
      <c r="P17" s="49">
        <v>0</v>
      </c>
      <c r="Q17" s="116">
        <v>0</v>
      </c>
      <c r="R17" s="49">
        <v>0</v>
      </c>
      <c r="S17" s="116">
        <v>0</v>
      </c>
      <c r="T17" s="49">
        <v>0</v>
      </c>
      <c r="U17" s="158">
        <v>0</v>
      </c>
      <c r="V17" s="49">
        <v>0</v>
      </c>
      <c r="W17" s="116">
        <v>0</v>
      </c>
      <c r="X17" s="49">
        <v>0</v>
      </c>
      <c r="Y17" s="116">
        <v>0</v>
      </c>
      <c r="Z17" s="49">
        <v>0</v>
      </c>
      <c r="AA17" s="116">
        <v>0</v>
      </c>
      <c r="AB17" s="49">
        <v>0</v>
      </c>
      <c r="AC17" s="116">
        <v>0</v>
      </c>
      <c r="AD17" s="49">
        <v>0</v>
      </c>
      <c r="AE17" s="116">
        <v>0</v>
      </c>
      <c r="AF17" s="49">
        <v>0</v>
      </c>
      <c r="AG17" s="116">
        <v>0</v>
      </c>
      <c r="AH17" s="49">
        <v>0</v>
      </c>
      <c r="AI17" s="116">
        <v>0</v>
      </c>
      <c r="AJ17" s="49">
        <v>0</v>
      </c>
      <c r="AK17" s="116">
        <v>0</v>
      </c>
      <c r="AL17" s="49">
        <v>0</v>
      </c>
      <c r="AM17" s="116">
        <v>0</v>
      </c>
      <c r="AN17" s="49">
        <v>0</v>
      </c>
      <c r="AO17" s="116">
        <v>0</v>
      </c>
      <c r="AP17" s="49">
        <v>0</v>
      </c>
      <c r="AQ17" s="116">
        <v>0</v>
      </c>
      <c r="AR17" s="49">
        <v>0</v>
      </c>
      <c r="AS17" s="116">
        <v>0</v>
      </c>
      <c r="AT17" s="49">
        <v>0</v>
      </c>
      <c r="AU17" s="116">
        <v>0</v>
      </c>
      <c r="AV17" s="49">
        <v>0</v>
      </c>
      <c r="AW17" s="116">
        <v>0</v>
      </c>
      <c r="AX17" s="49">
        <v>0</v>
      </c>
      <c r="AY17" s="116">
        <v>0</v>
      </c>
      <c r="AZ17" s="49">
        <v>0</v>
      </c>
      <c r="BA17" s="116">
        <v>0</v>
      </c>
      <c r="BB17" s="49">
        <v>0</v>
      </c>
      <c r="BC17" s="116">
        <v>0</v>
      </c>
      <c r="BD17" s="49">
        <v>0</v>
      </c>
      <c r="BE17" s="116">
        <v>0</v>
      </c>
      <c r="BF17" s="49">
        <v>0</v>
      </c>
      <c r="BG17" s="116">
        <v>0</v>
      </c>
      <c r="BH17" s="49">
        <v>0</v>
      </c>
      <c r="BI17" s="116">
        <v>0</v>
      </c>
      <c r="BJ17" s="49">
        <v>0</v>
      </c>
      <c r="BK17" s="116">
        <v>0</v>
      </c>
      <c r="BL17" s="49">
        <v>0</v>
      </c>
      <c r="BM17" s="116">
        <v>0</v>
      </c>
      <c r="BN17" s="49">
        <v>0</v>
      </c>
      <c r="BO17" s="116">
        <v>0</v>
      </c>
      <c r="BP17" s="49">
        <v>0</v>
      </c>
      <c r="BQ17" s="116">
        <v>0</v>
      </c>
      <c r="BR17" s="49">
        <v>0</v>
      </c>
      <c r="BS17" s="116">
        <v>0</v>
      </c>
      <c r="BT17" s="49">
        <v>0</v>
      </c>
      <c r="BU17" s="116">
        <v>0</v>
      </c>
      <c r="BV17" s="49">
        <v>0</v>
      </c>
      <c r="BW17" s="161"/>
      <c r="BX17" s="161"/>
      <c r="CD17" s="107">
        <v>0</v>
      </c>
      <c r="CE17" s="49">
        <v>0</v>
      </c>
      <c r="CF17" s="116">
        <v>0</v>
      </c>
      <c r="CG17" s="49">
        <v>0</v>
      </c>
      <c r="CH17" s="116">
        <v>0</v>
      </c>
      <c r="CI17" s="49">
        <v>0</v>
      </c>
      <c r="CJ17" s="116">
        <v>0</v>
      </c>
      <c r="CK17" s="49">
        <v>0</v>
      </c>
      <c r="CL17" s="116">
        <v>0</v>
      </c>
      <c r="CM17" s="49">
        <v>0</v>
      </c>
      <c r="CN17" s="116">
        <v>0</v>
      </c>
      <c r="CO17" s="49">
        <v>0</v>
      </c>
      <c r="CP17" s="116">
        <v>0</v>
      </c>
      <c r="CQ17" s="49">
        <v>0</v>
      </c>
      <c r="CR17" s="116">
        <v>0</v>
      </c>
      <c r="CS17" s="49">
        <v>0</v>
      </c>
      <c r="CT17" s="116">
        <v>0</v>
      </c>
      <c r="CU17" s="49">
        <v>0</v>
      </c>
      <c r="CV17" s="116">
        <v>0</v>
      </c>
      <c r="CW17" s="49">
        <v>0</v>
      </c>
      <c r="CX17" s="116">
        <v>0</v>
      </c>
      <c r="CY17" s="49">
        <v>0</v>
      </c>
      <c r="CZ17" s="116">
        <v>0</v>
      </c>
      <c r="DA17" s="49">
        <v>0</v>
      </c>
      <c r="DB17" s="116">
        <v>0</v>
      </c>
      <c r="DC17" s="49">
        <v>0</v>
      </c>
      <c r="DD17" s="116">
        <v>0</v>
      </c>
      <c r="DE17" s="49">
        <v>0</v>
      </c>
      <c r="DF17" s="116">
        <v>0</v>
      </c>
      <c r="DG17" s="49">
        <v>0</v>
      </c>
      <c r="DH17" s="116">
        <v>0</v>
      </c>
      <c r="DI17" s="49">
        <v>0</v>
      </c>
      <c r="DJ17" s="116">
        <v>0</v>
      </c>
      <c r="DK17" s="49">
        <v>0</v>
      </c>
      <c r="DL17" s="116">
        <v>0</v>
      </c>
      <c r="DM17" s="49">
        <v>0</v>
      </c>
      <c r="DN17" s="116">
        <v>0</v>
      </c>
      <c r="DO17" s="49">
        <v>0</v>
      </c>
      <c r="DP17" s="116">
        <v>0</v>
      </c>
      <c r="DQ17" s="49">
        <v>0</v>
      </c>
      <c r="DR17" s="116">
        <v>0</v>
      </c>
      <c r="DS17" s="49">
        <v>0</v>
      </c>
      <c r="DT17" s="116">
        <v>0</v>
      </c>
      <c r="DU17" s="49">
        <v>0</v>
      </c>
      <c r="DV17" s="116">
        <v>0</v>
      </c>
      <c r="DW17" s="49">
        <v>0</v>
      </c>
      <c r="DX17" s="116">
        <v>0</v>
      </c>
      <c r="DY17" s="49">
        <v>0</v>
      </c>
      <c r="DZ17" s="116">
        <v>0</v>
      </c>
      <c r="EA17" s="49">
        <v>0</v>
      </c>
      <c r="EB17" s="116">
        <v>0</v>
      </c>
      <c r="EC17" s="49">
        <v>0</v>
      </c>
      <c r="ED17" s="116">
        <v>0</v>
      </c>
      <c r="EE17" s="49">
        <v>0</v>
      </c>
    </row>
    <row r="18" spans="1:135" x14ac:dyDescent="0.35">
      <c r="D18" s="99" t="s">
        <v>197</v>
      </c>
      <c r="E18" s="116">
        <v>0</v>
      </c>
      <c r="F18" s="49">
        <v>0</v>
      </c>
      <c r="G18" s="116">
        <v>0</v>
      </c>
      <c r="H18" s="49">
        <v>0</v>
      </c>
      <c r="I18" s="116">
        <v>0</v>
      </c>
      <c r="J18" s="49">
        <v>0</v>
      </c>
      <c r="K18" s="116">
        <v>0</v>
      </c>
      <c r="L18" s="49">
        <v>0</v>
      </c>
      <c r="M18" s="116">
        <v>0</v>
      </c>
      <c r="N18" s="49">
        <v>0</v>
      </c>
      <c r="O18" s="116">
        <v>0</v>
      </c>
      <c r="P18" s="49">
        <v>0</v>
      </c>
      <c r="Q18" s="116">
        <v>0</v>
      </c>
      <c r="R18" s="49">
        <v>0</v>
      </c>
      <c r="S18" s="116">
        <v>0</v>
      </c>
      <c r="T18" s="49">
        <v>0</v>
      </c>
      <c r="U18" s="158">
        <v>0</v>
      </c>
      <c r="V18" s="49">
        <v>0</v>
      </c>
      <c r="W18" s="116">
        <v>0</v>
      </c>
      <c r="X18" s="49">
        <v>0</v>
      </c>
      <c r="Y18" s="116">
        <v>0</v>
      </c>
      <c r="Z18" s="49">
        <v>0</v>
      </c>
      <c r="AA18" s="116">
        <v>0</v>
      </c>
      <c r="AB18" s="49">
        <v>0</v>
      </c>
      <c r="AC18" s="116">
        <v>0</v>
      </c>
      <c r="AD18" s="49">
        <v>0</v>
      </c>
      <c r="AE18" s="116">
        <v>0</v>
      </c>
      <c r="AF18" s="49">
        <v>0</v>
      </c>
      <c r="AG18" s="116">
        <v>0</v>
      </c>
      <c r="AH18" s="49">
        <v>0</v>
      </c>
      <c r="AI18" s="116">
        <v>0</v>
      </c>
      <c r="AJ18" s="49">
        <v>0</v>
      </c>
      <c r="AK18" s="116">
        <v>0</v>
      </c>
      <c r="AL18" s="49">
        <v>0</v>
      </c>
      <c r="AM18" s="116">
        <v>0</v>
      </c>
      <c r="AN18" s="49">
        <v>0</v>
      </c>
      <c r="AO18" s="116">
        <v>0</v>
      </c>
      <c r="AP18" s="49">
        <v>0</v>
      </c>
      <c r="AQ18" s="116">
        <v>0</v>
      </c>
      <c r="AR18" s="49">
        <v>0</v>
      </c>
      <c r="AS18" s="116">
        <v>0</v>
      </c>
      <c r="AT18" s="49">
        <v>0</v>
      </c>
      <c r="AU18" s="116">
        <v>0</v>
      </c>
      <c r="AV18" s="49">
        <v>0</v>
      </c>
      <c r="AW18" s="116">
        <v>0</v>
      </c>
      <c r="AX18" s="49">
        <v>0</v>
      </c>
      <c r="AY18" s="116">
        <v>0</v>
      </c>
      <c r="AZ18" s="49">
        <v>0</v>
      </c>
      <c r="BA18" s="116">
        <v>0</v>
      </c>
      <c r="BB18" s="49">
        <v>0</v>
      </c>
      <c r="BC18" s="116">
        <v>0</v>
      </c>
      <c r="BD18" s="49">
        <v>0</v>
      </c>
      <c r="BE18" s="116">
        <v>0</v>
      </c>
      <c r="BF18" s="49">
        <v>0</v>
      </c>
      <c r="BG18" s="116">
        <v>0</v>
      </c>
      <c r="BH18" s="49">
        <v>0</v>
      </c>
      <c r="BI18" s="116">
        <v>0</v>
      </c>
      <c r="BJ18" s="49">
        <v>0</v>
      </c>
      <c r="BK18" s="116">
        <v>0</v>
      </c>
      <c r="BL18" s="49">
        <v>0</v>
      </c>
      <c r="BM18" s="116">
        <v>0</v>
      </c>
      <c r="BN18" s="49">
        <v>0</v>
      </c>
      <c r="BO18" s="116">
        <v>0</v>
      </c>
      <c r="BP18" s="49">
        <v>0</v>
      </c>
      <c r="BQ18" s="116">
        <v>0</v>
      </c>
      <c r="BR18" s="49">
        <v>0</v>
      </c>
      <c r="BS18" s="116">
        <v>0</v>
      </c>
      <c r="BT18" s="49">
        <v>0</v>
      </c>
      <c r="BU18" s="116">
        <v>0</v>
      </c>
      <c r="BV18" s="49">
        <v>0</v>
      </c>
      <c r="BW18" s="161"/>
      <c r="BX18" s="161"/>
      <c r="CD18" s="107">
        <v>0</v>
      </c>
      <c r="CE18" s="49">
        <v>0</v>
      </c>
      <c r="CF18" s="116">
        <v>0</v>
      </c>
      <c r="CG18" s="49">
        <v>0</v>
      </c>
      <c r="CH18" s="116">
        <v>0</v>
      </c>
      <c r="CI18" s="49">
        <v>0</v>
      </c>
      <c r="CJ18" s="116">
        <v>0</v>
      </c>
      <c r="CK18" s="49">
        <v>0</v>
      </c>
      <c r="CL18" s="116">
        <v>0</v>
      </c>
      <c r="CM18" s="49">
        <v>0</v>
      </c>
      <c r="CN18" s="116">
        <v>0</v>
      </c>
      <c r="CO18" s="49">
        <v>0</v>
      </c>
      <c r="CP18" s="116">
        <v>0</v>
      </c>
      <c r="CQ18" s="49">
        <v>0</v>
      </c>
      <c r="CR18" s="116">
        <v>0</v>
      </c>
      <c r="CS18" s="49">
        <v>0</v>
      </c>
      <c r="CT18" s="116">
        <v>0</v>
      </c>
      <c r="CU18" s="49">
        <v>0</v>
      </c>
      <c r="CV18" s="116">
        <v>0</v>
      </c>
      <c r="CW18" s="49">
        <v>0</v>
      </c>
      <c r="CX18" s="116">
        <v>0</v>
      </c>
      <c r="CY18" s="49">
        <v>0</v>
      </c>
      <c r="CZ18" s="116">
        <v>0</v>
      </c>
      <c r="DA18" s="49">
        <v>0</v>
      </c>
      <c r="DB18" s="116">
        <v>0</v>
      </c>
      <c r="DC18" s="49">
        <v>0</v>
      </c>
      <c r="DD18" s="116">
        <v>0</v>
      </c>
      <c r="DE18" s="49">
        <v>0</v>
      </c>
      <c r="DF18" s="116">
        <v>0</v>
      </c>
      <c r="DG18" s="49">
        <v>0</v>
      </c>
      <c r="DH18" s="116">
        <v>0</v>
      </c>
      <c r="DI18" s="49">
        <v>0</v>
      </c>
      <c r="DJ18" s="116">
        <v>0</v>
      </c>
      <c r="DK18" s="49">
        <v>0</v>
      </c>
      <c r="DL18" s="116">
        <v>0</v>
      </c>
      <c r="DM18" s="49">
        <v>0</v>
      </c>
      <c r="DN18" s="116">
        <v>0</v>
      </c>
      <c r="DO18" s="49">
        <v>0</v>
      </c>
      <c r="DP18" s="116">
        <v>0</v>
      </c>
      <c r="DQ18" s="49">
        <v>0</v>
      </c>
      <c r="DR18" s="116">
        <v>0</v>
      </c>
      <c r="DS18" s="49">
        <v>0</v>
      </c>
      <c r="DT18" s="116">
        <v>0</v>
      </c>
      <c r="DU18" s="49">
        <v>0</v>
      </c>
      <c r="DV18" s="116">
        <v>0</v>
      </c>
      <c r="DW18" s="49">
        <v>0</v>
      </c>
      <c r="DX18" s="116">
        <v>0</v>
      </c>
      <c r="DY18" s="49">
        <v>0</v>
      </c>
      <c r="DZ18" s="116">
        <v>0</v>
      </c>
      <c r="EA18" s="49">
        <v>0</v>
      </c>
      <c r="EB18" s="116">
        <v>0</v>
      </c>
      <c r="EC18" s="49">
        <v>0</v>
      </c>
      <c r="ED18" s="116">
        <v>0</v>
      </c>
      <c r="EE18" s="49">
        <v>0</v>
      </c>
    </row>
    <row r="19" spans="1:135" x14ac:dyDescent="0.35">
      <c r="A19" s="142">
        <f>12.0107+15.9994*2</f>
        <v>44.009500000000003</v>
      </c>
      <c r="C19" s="130" t="s">
        <v>126</v>
      </c>
      <c r="D19" s="99" t="s">
        <v>198</v>
      </c>
      <c r="E19" s="116">
        <v>0</v>
      </c>
      <c r="F19" s="49">
        <v>0</v>
      </c>
      <c r="G19" s="116">
        <v>0</v>
      </c>
      <c r="H19" s="49">
        <v>0</v>
      </c>
      <c r="I19" s="116">
        <v>0</v>
      </c>
      <c r="J19" s="49">
        <v>0</v>
      </c>
      <c r="K19" s="116">
        <v>0</v>
      </c>
      <c r="L19" s="49">
        <v>0</v>
      </c>
      <c r="M19" s="116">
        <v>0</v>
      </c>
      <c r="N19" s="49">
        <v>0</v>
      </c>
      <c r="O19" s="116">
        <v>0</v>
      </c>
      <c r="P19" s="49">
        <v>0</v>
      </c>
      <c r="Q19" s="116">
        <v>0</v>
      </c>
      <c r="R19" s="49">
        <v>0</v>
      </c>
      <c r="S19" s="116">
        <v>0</v>
      </c>
      <c r="T19" s="49">
        <v>0</v>
      </c>
      <c r="U19" s="158">
        <v>0</v>
      </c>
      <c r="V19" s="49">
        <v>0</v>
      </c>
      <c r="W19" s="116">
        <v>0</v>
      </c>
      <c r="X19" s="49">
        <v>0</v>
      </c>
      <c r="Y19" s="116">
        <v>0</v>
      </c>
      <c r="Z19" s="49">
        <v>0</v>
      </c>
      <c r="AA19" s="116">
        <v>0</v>
      </c>
      <c r="AB19" s="49">
        <v>0</v>
      </c>
      <c r="AC19" s="116">
        <v>0</v>
      </c>
      <c r="AD19" s="49">
        <v>0</v>
      </c>
      <c r="AE19" s="116">
        <v>0</v>
      </c>
      <c r="AF19" s="49">
        <v>0</v>
      </c>
      <c r="AG19" s="116">
        <v>0</v>
      </c>
      <c r="AH19" s="49">
        <v>0</v>
      </c>
      <c r="AI19" s="116">
        <v>0</v>
      </c>
      <c r="AJ19" s="49">
        <v>0</v>
      </c>
      <c r="AK19" s="116">
        <v>0</v>
      </c>
      <c r="AL19" s="49">
        <v>0</v>
      </c>
      <c r="AM19" s="116">
        <v>0</v>
      </c>
      <c r="AN19" s="49">
        <v>0</v>
      </c>
      <c r="AO19" s="116">
        <v>0</v>
      </c>
      <c r="AP19" s="49">
        <v>0</v>
      </c>
      <c r="AQ19" s="116">
        <v>0</v>
      </c>
      <c r="AR19" s="49">
        <v>0</v>
      </c>
      <c r="AS19" s="116">
        <v>0</v>
      </c>
      <c r="AT19" s="49">
        <v>0</v>
      </c>
      <c r="AU19" s="116">
        <v>0</v>
      </c>
      <c r="AV19" s="49">
        <v>0</v>
      </c>
      <c r="AW19" s="116">
        <v>0</v>
      </c>
      <c r="AX19" s="49">
        <v>0</v>
      </c>
      <c r="AY19" s="116">
        <v>0</v>
      </c>
      <c r="AZ19" s="49">
        <v>0</v>
      </c>
      <c r="BA19" s="116">
        <v>0</v>
      </c>
      <c r="BB19" s="49">
        <v>0</v>
      </c>
      <c r="BC19" s="116">
        <v>0</v>
      </c>
      <c r="BD19" s="49">
        <v>0</v>
      </c>
      <c r="BE19" s="116">
        <v>0</v>
      </c>
      <c r="BF19" s="49">
        <v>0</v>
      </c>
      <c r="BG19" s="116">
        <v>0</v>
      </c>
      <c r="BH19" s="49">
        <v>0</v>
      </c>
      <c r="BI19" s="116">
        <v>0</v>
      </c>
      <c r="BJ19" s="49">
        <v>0</v>
      </c>
      <c r="BK19" s="116">
        <v>0</v>
      </c>
      <c r="BL19" s="49">
        <v>0</v>
      </c>
      <c r="BM19" s="116">
        <v>0</v>
      </c>
      <c r="BN19" s="49">
        <v>0</v>
      </c>
      <c r="BO19" s="116">
        <v>0</v>
      </c>
      <c r="BP19" s="49">
        <v>0</v>
      </c>
      <c r="BQ19" s="116">
        <v>0</v>
      </c>
      <c r="BR19" s="49">
        <v>0</v>
      </c>
      <c r="BS19" s="116">
        <v>0</v>
      </c>
      <c r="BT19" s="49">
        <v>0</v>
      </c>
      <c r="BU19" s="116">
        <v>0</v>
      </c>
      <c r="BV19" s="49">
        <v>0</v>
      </c>
      <c r="BW19" s="161"/>
      <c r="BX19" s="161"/>
      <c r="CD19" s="107">
        <v>0</v>
      </c>
      <c r="CE19" s="49">
        <v>0</v>
      </c>
      <c r="CF19" s="116">
        <v>0</v>
      </c>
      <c r="CG19" s="49">
        <v>0</v>
      </c>
      <c r="CH19" s="116">
        <v>0</v>
      </c>
      <c r="CI19" s="49">
        <v>0</v>
      </c>
      <c r="CJ19" s="116">
        <v>0</v>
      </c>
      <c r="CK19" s="49">
        <v>0</v>
      </c>
      <c r="CL19" s="116">
        <v>0</v>
      </c>
      <c r="CM19" s="49">
        <v>0</v>
      </c>
      <c r="CN19" s="116">
        <v>0</v>
      </c>
      <c r="CO19" s="49">
        <v>0</v>
      </c>
      <c r="CP19" s="116">
        <v>0</v>
      </c>
      <c r="CQ19" s="49">
        <v>0</v>
      </c>
      <c r="CR19" s="116">
        <v>0</v>
      </c>
      <c r="CS19" s="49">
        <v>0</v>
      </c>
      <c r="CT19" s="116">
        <v>0</v>
      </c>
      <c r="CU19" s="49">
        <v>0</v>
      </c>
      <c r="CV19" s="116">
        <v>0</v>
      </c>
      <c r="CW19" s="49">
        <v>0</v>
      </c>
      <c r="CX19" s="116">
        <v>0</v>
      </c>
      <c r="CY19" s="49">
        <v>0</v>
      </c>
      <c r="CZ19" s="116">
        <v>0</v>
      </c>
      <c r="DA19" s="49">
        <v>0</v>
      </c>
      <c r="DB19" s="116">
        <v>0</v>
      </c>
      <c r="DC19" s="49">
        <v>0</v>
      </c>
      <c r="DD19" s="116">
        <v>0</v>
      </c>
      <c r="DE19" s="49">
        <v>0</v>
      </c>
      <c r="DF19" s="116">
        <v>0</v>
      </c>
      <c r="DG19" s="49">
        <v>0</v>
      </c>
      <c r="DH19" s="116">
        <v>0</v>
      </c>
      <c r="DI19" s="49">
        <v>0</v>
      </c>
      <c r="DJ19" s="116">
        <v>0</v>
      </c>
      <c r="DK19" s="49">
        <v>0</v>
      </c>
      <c r="DL19" s="116">
        <v>0</v>
      </c>
      <c r="DM19" s="49">
        <v>0</v>
      </c>
      <c r="DN19" s="116">
        <v>0</v>
      </c>
      <c r="DO19" s="49">
        <v>0</v>
      </c>
      <c r="DP19" s="116">
        <v>0</v>
      </c>
      <c r="DQ19" s="49">
        <v>0</v>
      </c>
      <c r="DR19" s="116">
        <v>0</v>
      </c>
      <c r="DS19" s="49">
        <v>0</v>
      </c>
      <c r="DT19" s="116">
        <v>0</v>
      </c>
      <c r="DU19" s="49">
        <v>0</v>
      </c>
      <c r="DV19" s="116">
        <v>0</v>
      </c>
      <c r="DW19" s="49">
        <v>0</v>
      </c>
      <c r="DX19" s="116">
        <v>0</v>
      </c>
      <c r="DY19" s="49">
        <v>0</v>
      </c>
      <c r="DZ19" s="116">
        <v>0</v>
      </c>
      <c r="EA19" s="49">
        <v>0</v>
      </c>
      <c r="EB19" s="116">
        <v>0</v>
      </c>
      <c r="EC19" s="49">
        <v>0</v>
      </c>
      <c r="ED19" s="116">
        <v>0</v>
      </c>
      <c r="EE19" s="49">
        <v>0</v>
      </c>
    </row>
    <row r="20" spans="1:135" x14ac:dyDescent="0.35">
      <c r="A20" s="140">
        <f>12.0107+1.00794*4</f>
        <v>16.042459999999998</v>
      </c>
      <c r="B20" s="17">
        <v>529</v>
      </c>
      <c r="C20" s="131" t="s">
        <v>127</v>
      </c>
      <c r="D20" s="99" t="s">
        <v>127</v>
      </c>
      <c r="E20" s="114">
        <v>0.84063100000000002</v>
      </c>
      <c r="F20" s="49">
        <v>0.7056726411016363</v>
      </c>
      <c r="G20" s="114">
        <v>0.83998799999999996</v>
      </c>
      <c r="H20" s="49">
        <v>0.70402834993838714</v>
      </c>
      <c r="I20" s="114">
        <v>0.84113599999999999</v>
      </c>
      <c r="J20" s="49">
        <v>0.69980553021104264</v>
      </c>
      <c r="K20" s="114">
        <v>0.88016000000000005</v>
      </c>
      <c r="L20" s="49">
        <v>0.77990887019553512</v>
      </c>
      <c r="M20" s="114">
        <v>0.84237200000000001</v>
      </c>
      <c r="N20" s="49">
        <v>0.70927562536026689</v>
      </c>
      <c r="O20" s="114">
        <v>0.80598000000000003</v>
      </c>
      <c r="P20" s="49">
        <v>0.63920390458457044</v>
      </c>
      <c r="Q20" s="114">
        <v>0.81536799999999998</v>
      </c>
      <c r="R20" s="49">
        <v>0.65843931631295383</v>
      </c>
      <c r="S20" s="114">
        <v>0.51014999999999999</v>
      </c>
      <c r="T20" s="49">
        <v>0.30450753850025464</v>
      </c>
      <c r="U20" s="114">
        <v>0.78629099999999996</v>
      </c>
      <c r="V20" s="49">
        <v>0.58692707411841183</v>
      </c>
      <c r="W20" s="114">
        <v>0.79008400000000001</v>
      </c>
      <c r="X20" s="49">
        <v>0.60146037319515167</v>
      </c>
      <c r="Y20" s="114">
        <v>0.80865699999999996</v>
      </c>
      <c r="Z20" s="49">
        <v>0.63554927760246094</v>
      </c>
      <c r="AA20" s="114">
        <v>0.79411200000000004</v>
      </c>
      <c r="AB20" s="49">
        <v>0.60008055368822444</v>
      </c>
      <c r="AC20" s="114">
        <v>0.77546599999999999</v>
      </c>
      <c r="AD20" s="49">
        <v>0.55715500888601655</v>
      </c>
      <c r="AE20" s="114">
        <v>0.83338599999999996</v>
      </c>
      <c r="AF20" s="49">
        <v>0.69086065425020204</v>
      </c>
      <c r="AG20" s="114">
        <v>0.81855599999999995</v>
      </c>
      <c r="AH20" s="49">
        <v>0.64242643275626377</v>
      </c>
      <c r="AI20" s="114">
        <v>0.81348900000000002</v>
      </c>
      <c r="AJ20" s="49">
        <v>0.64015223514997976</v>
      </c>
      <c r="AK20" s="114">
        <v>0.790412</v>
      </c>
      <c r="AL20" s="49">
        <v>0.59257356256212623</v>
      </c>
      <c r="AM20" s="114">
        <v>0.81152000000000002</v>
      </c>
      <c r="AN20" s="49">
        <v>0.62039720879505689</v>
      </c>
      <c r="AO20" s="114">
        <v>0.81536299999999995</v>
      </c>
      <c r="AP20" s="49">
        <v>0.65496402824235544</v>
      </c>
      <c r="AQ20" s="114">
        <v>0.82339300000000004</v>
      </c>
      <c r="AR20" s="49">
        <v>0.65631895539542084</v>
      </c>
      <c r="AS20" s="114">
        <v>0.824901</v>
      </c>
      <c r="AT20" s="49">
        <v>0.6789892359240558</v>
      </c>
      <c r="AU20" s="114">
        <v>0.86885500000000004</v>
      </c>
      <c r="AV20" s="49">
        <v>0.75842500456308548</v>
      </c>
      <c r="AW20" s="114">
        <v>0.83092999999999995</v>
      </c>
      <c r="AX20" s="49">
        <v>0.6771761486941088</v>
      </c>
      <c r="AY20" s="114">
        <v>0.93750800000000001</v>
      </c>
      <c r="AZ20" s="49">
        <v>0.88292153615701463</v>
      </c>
      <c r="BA20" s="114">
        <v>0.94092900000000002</v>
      </c>
      <c r="BB20" s="49">
        <v>0.88902420430135287</v>
      </c>
      <c r="BC20" s="114">
        <v>0.936446</v>
      </c>
      <c r="BD20" s="49">
        <v>0.88070243364518852</v>
      </c>
      <c r="BE20" s="114">
        <v>0.92887799999999998</v>
      </c>
      <c r="BF20" s="49">
        <v>0.86756858098495104</v>
      </c>
      <c r="BG20" s="114">
        <v>0.92949899999999996</v>
      </c>
      <c r="BH20" s="49">
        <v>0.86874964891009276</v>
      </c>
      <c r="BI20" s="114">
        <v>0.79681299999999999</v>
      </c>
      <c r="BJ20" s="49">
        <v>0.63745428410412808</v>
      </c>
      <c r="BK20" s="114">
        <v>0.74638599999999999</v>
      </c>
      <c r="BL20" s="49">
        <v>0.55871175813842766</v>
      </c>
      <c r="BM20" s="114">
        <v>0.76721399999999995</v>
      </c>
      <c r="BN20" s="49">
        <v>0.58742854985173232</v>
      </c>
      <c r="BO20" s="114">
        <v>0.69362800000000002</v>
      </c>
      <c r="BP20" s="49">
        <v>0.46348278914583274</v>
      </c>
      <c r="BQ20" s="114">
        <v>0.74878400000000001</v>
      </c>
      <c r="BR20" s="49">
        <v>0.55994353277958153</v>
      </c>
      <c r="BS20" s="114">
        <v>0.734823</v>
      </c>
      <c r="BT20" s="49">
        <v>0.54165333338060428</v>
      </c>
      <c r="BU20" s="114">
        <v>0.90349100000000004</v>
      </c>
      <c r="BV20" s="49">
        <v>0.81793183596020547</v>
      </c>
      <c r="BW20" s="161">
        <f>AVERAGE(F20,H20,J20,L20,N20,P20,R20,T20,V20,X20,Z20,AB20,AD20,AF20,AH20,AJ20,AL20,AN20,AP20,AR20,AT20,AV20,AX20,AZ20,BB20,BD20,BF20,BH20,BJ20,BL20,BN20,BP20,BR20,BT20,BV20)</f>
        <v>0.66713914335390523</v>
      </c>
      <c r="BX20" s="166">
        <f>BW20/$BW$38*100</f>
        <v>66.645807179036566</v>
      </c>
      <c r="BY20" s="17">
        <f>STDEV(F20,H20,J20,L20,N20,P20,R20,T20,V20,X20,Z20,AB20,AD20,AF20,AH20,AJ20,AL20,AN20,AP20,AR20,AT20,AV20,AX20,AZ20,BB20,BD20,BF20,BH20,BJ20,BL20,BN20,BP20,BR20,BT20,BV20)</f>
        <v>0.12488283154974178</v>
      </c>
      <c r="CD20" s="105">
        <v>0.78629099999999996</v>
      </c>
      <c r="CE20" s="49">
        <v>0.58692707411841183</v>
      </c>
      <c r="CF20" s="114">
        <v>0.79008400000000001</v>
      </c>
      <c r="CG20" s="49">
        <v>0.60146037319515167</v>
      </c>
      <c r="CH20" s="114">
        <v>0.80865699999999996</v>
      </c>
      <c r="CI20" s="49">
        <v>0.63554927760246094</v>
      </c>
      <c r="CJ20" s="114">
        <v>0.79411200000000004</v>
      </c>
      <c r="CK20" s="49">
        <v>0.60008055368822444</v>
      </c>
      <c r="CL20" s="114">
        <v>0.77546599999999999</v>
      </c>
      <c r="CM20" s="49">
        <v>0.55715500888601655</v>
      </c>
      <c r="CN20" s="114">
        <v>0.83338599999999996</v>
      </c>
      <c r="CO20" s="49">
        <v>0.69086065425020204</v>
      </c>
      <c r="CP20" s="114">
        <v>0.81855599999999995</v>
      </c>
      <c r="CQ20" s="49">
        <v>0.64242643275626377</v>
      </c>
      <c r="CR20" s="114">
        <v>0.81348900000000002</v>
      </c>
      <c r="CS20" s="49">
        <v>0.64015223514997976</v>
      </c>
      <c r="CT20" s="114">
        <v>0.790412</v>
      </c>
      <c r="CU20" s="49">
        <v>0.59257356256212623</v>
      </c>
      <c r="CV20" s="114">
        <v>0.81152000000000002</v>
      </c>
      <c r="CW20" s="49">
        <v>0.62039720879505689</v>
      </c>
      <c r="CX20" s="114">
        <v>0.81536299999999995</v>
      </c>
      <c r="CY20" s="49">
        <v>0.65496402824235544</v>
      </c>
      <c r="CZ20" s="114">
        <v>0.82339300000000004</v>
      </c>
      <c r="DA20" s="49">
        <v>0.65631895539542084</v>
      </c>
      <c r="DB20" s="114">
        <v>0.824901</v>
      </c>
      <c r="DC20" s="49">
        <v>0.6789892359240558</v>
      </c>
      <c r="DD20" s="114">
        <v>0.86885500000000004</v>
      </c>
      <c r="DE20" s="49">
        <v>0.75842500456308548</v>
      </c>
      <c r="DF20" s="114">
        <v>0.83092999999999995</v>
      </c>
      <c r="DG20" s="49">
        <v>0.6771761486941088</v>
      </c>
      <c r="DH20" s="114">
        <v>0.93750800000000001</v>
      </c>
      <c r="DI20" s="49">
        <v>0.88292153615701463</v>
      </c>
      <c r="DJ20" s="114">
        <v>0.94092900000000002</v>
      </c>
      <c r="DK20" s="49">
        <v>0.88902420430135287</v>
      </c>
      <c r="DL20" s="114">
        <v>0.936446</v>
      </c>
      <c r="DM20" s="49">
        <v>0.88070243364518852</v>
      </c>
      <c r="DN20" s="114">
        <v>0.92887799999999998</v>
      </c>
      <c r="DO20" s="49">
        <v>0.86756858098495104</v>
      </c>
      <c r="DP20" s="114">
        <v>0.92949899999999996</v>
      </c>
      <c r="DQ20" s="49">
        <v>0.86874964891009276</v>
      </c>
      <c r="DR20" s="114">
        <v>0.79681299999999999</v>
      </c>
      <c r="DS20" s="49">
        <v>0.63745428410412808</v>
      </c>
      <c r="DT20" s="114">
        <v>0.74638599999999999</v>
      </c>
      <c r="DU20" s="49">
        <v>0.55871175813842766</v>
      </c>
      <c r="DV20" s="114">
        <v>0.76721399999999995</v>
      </c>
      <c r="DW20" s="49">
        <v>0.58742854985173232</v>
      </c>
      <c r="DX20" s="114">
        <v>0.69362800000000002</v>
      </c>
      <c r="DY20" s="49">
        <v>0.46348278914583274</v>
      </c>
      <c r="DZ20" s="114">
        <v>0.74878400000000001</v>
      </c>
      <c r="EA20" s="49">
        <v>0.55994353277958153</v>
      </c>
      <c r="EB20" s="114">
        <v>0.734823</v>
      </c>
      <c r="EC20" s="49">
        <v>0.54165333338060428</v>
      </c>
      <c r="ED20" s="114">
        <v>0.90349100000000004</v>
      </c>
      <c r="EE20" s="49">
        <v>0.81793183596020547</v>
      </c>
    </row>
    <row r="21" spans="1:135" x14ac:dyDescent="0.35">
      <c r="A21" s="140">
        <f>12.0107*2+1.00794*6</f>
        <v>30.069040000000001</v>
      </c>
      <c r="B21" s="17">
        <v>438</v>
      </c>
      <c r="C21" s="131" t="s">
        <v>128</v>
      </c>
      <c r="D21" s="99" t="s">
        <v>128</v>
      </c>
      <c r="E21" s="114">
        <v>0.11709600000000001</v>
      </c>
      <c r="F21" s="49">
        <v>0.18424195624858802</v>
      </c>
      <c r="G21" s="114">
        <v>0.117017</v>
      </c>
      <c r="H21" s="49">
        <v>0.18382925342002154</v>
      </c>
      <c r="I21" s="114">
        <v>0.113553</v>
      </c>
      <c r="J21" s="49">
        <v>0.17707545219325221</v>
      </c>
      <c r="K21" s="114">
        <v>9.5754000000000006E-2</v>
      </c>
      <c r="L21" s="49">
        <v>0.15903318434472316</v>
      </c>
      <c r="M21" s="114">
        <v>0.116313</v>
      </c>
      <c r="N21" s="49">
        <v>0.18356419232145119</v>
      </c>
      <c r="O21" s="114">
        <v>0.13114999999999999</v>
      </c>
      <c r="P21" s="49">
        <v>0.1949539534866947</v>
      </c>
      <c r="Q21" s="114">
        <v>0.126718</v>
      </c>
      <c r="R21" s="49">
        <v>0.1918001752721466</v>
      </c>
      <c r="S21" s="114">
        <v>0.30331000000000002</v>
      </c>
      <c r="T21" s="49">
        <v>0.33934033513751322</v>
      </c>
      <c r="U21" s="114">
        <v>0.11704116666666668</v>
      </c>
      <c r="V21" s="49">
        <v>0.16375255259901578</v>
      </c>
      <c r="W21" s="114">
        <v>0.12612899999999999</v>
      </c>
      <c r="X21" s="49">
        <v>0.17996883388368828</v>
      </c>
      <c r="Y21" s="114">
        <v>0.125277</v>
      </c>
      <c r="Z21" s="49">
        <v>0.18454607872334439</v>
      </c>
      <c r="AA21" s="114">
        <v>0.119754</v>
      </c>
      <c r="AB21" s="49">
        <v>0.16961584513457373</v>
      </c>
      <c r="AC21" s="114">
        <v>0.106489</v>
      </c>
      <c r="AD21" s="49">
        <v>0.14340576962263307</v>
      </c>
      <c r="AE21" s="114">
        <v>0.115411</v>
      </c>
      <c r="AF21" s="49">
        <v>0.17932467847070419</v>
      </c>
      <c r="AG21" s="114">
        <v>0.109778</v>
      </c>
      <c r="AH21" s="49">
        <v>0.16148750234067671</v>
      </c>
      <c r="AI21" s="114">
        <v>0.122868</v>
      </c>
      <c r="AJ21" s="49">
        <v>0.18122535876354232</v>
      </c>
      <c r="AK21" s="114">
        <v>0.11941</v>
      </c>
      <c r="AL21" s="49">
        <v>0.16779462415238391</v>
      </c>
      <c r="AM21" s="114">
        <v>0.11189300000000001</v>
      </c>
      <c r="AN21" s="49">
        <v>0.16033270637894925</v>
      </c>
      <c r="AO21" s="114">
        <v>0.125446</v>
      </c>
      <c r="AP21" s="49">
        <v>0.18887386350081733</v>
      </c>
      <c r="AQ21" s="114">
        <v>0.112732</v>
      </c>
      <c r="AR21" s="49">
        <v>0.16842384841318517</v>
      </c>
      <c r="AS21" s="114">
        <v>0.123297</v>
      </c>
      <c r="AT21" s="49">
        <v>0.19022262336179857</v>
      </c>
      <c r="AU21" s="114">
        <v>9.7370999999999999E-2</v>
      </c>
      <c r="AV21" s="49">
        <v>0.15931019385523862</v>
      </c>
      <c r="AW21" s="114">
        <v>0.113485</v>
      </c>
      <c r="AX21" s="49">
        <v>0.17335017073319242</v>
      </c>
      <c r="AY21" s="114">
        <v>5.2519000000000003E-2</v>
      </c>
      <c r="AZ21" s="49">
        <v>9.2706924487607298E-2</v>
      </c>
      <c r="BA21" s="114">
        <v>5.0278999999999997E-2</v>
      </c>
      <c r="BB21" s="49">
        <v>8.9041395992696393E-2</v>
      </c>
      <c r="BC21" s="114">
        <v>5.3670000000000002E-2</v>
      </c>
      <c r="BD21" s="49">
        <v>9.460773616049345E-2</v>
      </c>
      <c r="BE21" s="114">
        <v>5.944E-2</v>
      </c>
      <c r="BF21" s="49">
        <v>0.10405729620975107</v>
      </c>
      <c r="BG21" s="114">
        <v>5.7815999999999999E-2</v>
      </c>
      <c r="BH21" s="49">
        <v>0.10128435216995091</v>
      </c>
      <c r="BI21" s="114">
        <v>0.13711499999999999</v>
      </c>
      <c r="BJ21" s="49">
        <v>0.20560146218464687</v>
      </c>
      <c r="BK21" s="114">
        <v>0.16103300000000001</v>
      </c>
      <c r="BL21" s="49">
        <v>0.2259372341643808</v>
      </c>
      <c r="BM21" s="114">
        <v>0.15099399999999999</v>
      </c>
      <c r="BN21" s="49">
        <v>0.21669396626228518</v>
      </c>
      <c r="BO21" s="114">
        <v>0.160465</v>
      </c>
      <c r="BP21" s="49">
        <v>0.20097216626558892</v>
      </c>
      <c r="BQ21" s="114">
        <v>0.15452299999999999</v>
      </c>
      <c r="BR21" s="49">
        <v>0.21658551398088968</v>
      </c>
      <c r="BS21" s="114">
        <v>0.16506899999999999</v>
      </c>
      <c r="BT21" s="49">
        <v>0.22806193085698276</v>
      </c>
      <c r="BU21" s="114">
        <v>7.5385999999999995E-2</v>
      </c>
      <c r="BV21" s="49">
        <v>0.12791827064388109</v>
      </c>
      <c r="BW21" s="161">
        <f t="shared" ref="BW21:BW37" si="0">AVERAGE(F21,H21,J21,L21,N21,P21,R21,T21,V21,X21,Z21,AB21,AD21,AF21,AH21,AJ21,AL21,AN21,AP21,AR21,AT21,AV21,AX21,AZ21,BB21,BD21,BF21,BH21,BJ21,BL21,BN21,BP21,BR21,BT21,BV21)</f>
        <v>0.17396975433535108</v>
      </c>
      <c r="BX21" s="166">
        <f t="shared" ref="BX21:BX37" si="1">BW21/$BW$38*100</f>
        <v>17.379215142631157</v>
      </c>
      <c r="BY21" s="17">
        <f t="shared" ref="BY21:BY37" si="2">STDEV(F21,H21,J21,L21,N21,P21,R21,T21,V21,X21,Z21,AB21,AD21,AF21,AH21,AJ21,AL21,AN21,AP21,AR21,AT21,AV21,AX21,AZ21,BB21,BD21,BF21,BH21,BJ21,BL21,BN21,BP21,BR21,BT21,BV21)</f>
        <v>4.6789996892445215E-2</v>
      </c>
      <c r="CD21" s="105">
        <v>0.11704116666666668</v>
      </c>
      <c r="CE21" s="49">
        <v>0.16375255259901578</v>
      </c>
      <c r="CF21" s="114">
        <v>0.12612899999999999</v>
      </c>
      <c r="CG21" s="49">
        <v>0.17996883388368828</v>
      </c>
      <c r="CH21" s="114">
        <v>0.125277</v>
      </c>
      <c r="CI21" s="49">
        <v>0.18454607872334439</v>
      </c>
      <c r="CJ21" s="114">
        <v>0.119754</v>
      </c>
      <c r="CK21" s="49">
        <v>0.16961584513457373</v>
      </c>
      <c r="CL21" s="114">
        <v>0.106489</v>
      </c>
      <c r="CM21" s="49">
        <v>0.14340576962263307</v>
      </c>
      <c r="CN21" s="114">
        <v>0.115411</v>
      </c>
      <c r="CO21" s="49">
        <v>0.17932467847070419</v>
      </c>
      <c r="CP21" s="114">
        <v>0.109778</v>
      </c>
      <c r="CQ21" s="49">
        <v>0.16148750234067671</v>
      </c>
      <c r="CR21" s="114">
        <v>0.122868</v>
      </c>
      <c r="CS21" s="49">
        <v>0.18122535876354232</v>
      </c>
      <c r="CT21" s="114">
        <v>0.11941</v>
      </c>
      <c r="CU21" s="49">
        <v>0.16779462415238391</v>
      </c>
      <c r="CV21" s="114">
        <v>0.11189300000000001</v>
      </c>
      <c r="CW21" s="49">
        <v>0.16033270637894925</v>
      </c>
      <c r="CX21" s="114">
        <v>0.125446</v>
      </c>
      <c r="CY21" s="49">
        <v>0.18887386350081733</v>
      </c>
      <c r="CZ21" s="114">
        <v>0.112732</v>
      </c>
      <c r="DA21" s="49">
        <v>0.16842384841318517</v>
      </c>
      <c r="DB21" s="114">
        <v>0.123297</v>
      </c>
      <c r="DC21" s="49">
        <v>0.19022262336179857</v>
      </c>
      <c r="DD21" s="114">
        <v>9.7370999999999999E-2</v>
      </c>
      <c r="DE21" s="49">
        <v>0.15931019385523862</v>
      </c>
      <c r="DF21" s="114">
        <v>0.113485</v>
      </c>
      <c r="DG21" s="49">
        <v>0.17335017073319242</v>
      </c>
      <c r="DH21" s="114">
        <v>5.2519000000000003E-2</v>
      </c>
      <c r="DI21" s="49">
        <v>9.2706924487607298E-2</v>
      </c>
      <c r="DJ21" s="114">
        <v>5.0278999999999997E-2</v>
      </c>
      <c r="DK21" s="49">
        <v>8.9041395992696393E-2</v>
      </c>
      <c r="DL21" s="114">
        <v>5.3670000000000002E-2</v>
      </c>
      <c r="DM21" s="49">
        <v>9.460773616049345E-2</v>
      </c>
      <c r="DN21" s="114">
        <v>5.944E-2</v>
      </c>
      <c r="DO21" s="49">
        <v>0.10405729620975107</v>
      </c>
      <c r="DP21" s="114">
        <v>5.7815999999999999E-2</v>
      </c>
      <c r="DQ21" s="49">
        <v>0.10128435216995091</v>
      </c>
      <c r="DR21" s="114">
        <v>0.13711499999999999</v>
      </c>
      <c r="DS21" s="49">
        <v>0.20560146218464687</v>
      </c>
      <c r="DT21" s="114">
        <v>0.16103300000000001</v>
      </c>
      <c r="DU21" s="49">
        <v>0.2259372341643808</v>
      </c>
      <c r="DV21" s="114">
        <v>0.15099399999999999</v>
      </c>
      <c r="DW21" s="49">
        <v>0.21669396626228518</v>
      </c>
      <c r="DX21" s="114">
        <v>0.160465</v>
      </c>
      <c r="DY21" s="49">
        <v>0.20097216626558892</v>
      </c>
      <c r="DZ21" s="114">
        <v>0.15452299999999999</v>
      </c>
      <c r="EA21" s="49">
        <v>0.21658551398088968</v>
      </c>
      <c r="EB21" s="114">
        <v>0.16506899999999999</v>
      </c>
      <c r="EC21" s="49">
        <v>0.22806193085698276</v>
      </c>
      <c r="ED21" s="114">
        <v>7.5385999999999995E-2</v>
      </c>
      <c r="EE21" s="49">
        <v>0.12791827064388109</v>
      </c>
    </row>
    <row r="22" spans="1:135" x14ac:dyDescent="0.35">
      <c r="A22" s="140">
        <f>12.0107*3+1.00794*8</f>
        <v>44.095619999999997</v>
      </c>
      <c r="B22" s="17">
        <v>671</v>
      </c>
      <c r="C22" s="131" t="s">
        <v>129</v>
      </c>
      <c r="D22" s="99" t="s">
        <v>129</v>
      </c>
      <c r="E22" s="114">
        <v>2.6513999999999999E-2</v>
      </c>
      <c r="F22" s="49">
        <v>6.1178330155884732E-2</v>
      </c>
      <c r="G22" s="114">
        <v>2.6460999999999998E-2</v>
      </c>
      <c r="H22" s="49">
        <v>6.0960399846741224E-2</v>
      </c>
      <c r="I22" s="114">
        <v>2.6981999999999999E-2</v>
      </c>
      <c r="J22" s="49">
        <v>6.1703496635032697E-2</v>
      </c>
      <c r="K22" s="114">
        <v>1.5997999999999998E-2</v>
      </c>
      <c r="L22" s="49">
        <v>3.8964796537355142E-2</v>
      </c>
      <c r="M22" s="114">
        <v>2.5992999999999999E-2</v>
      </c>
      <c r="N22" s="49">
        <v>6.0157808606597557E-2</v>
      </c>
      <c r="O22" s="114">
        <v>3.5929999999999997E-2</v>
      </c>
      <c r="P22" s="49">
        <v>7.8324360831179274E-2</v>
      </c>
      <c r="Q22" s="114">
        <v>3.4297000000000001E-2</v>
      </c>
      <c r="R22" s="49">
        <v>7.6127700866373244E-2</v>
      </c>
      <c r="S22" s="114">
        <v>0.1178</v>
      </c>
      <c r="T22" s="49">
        <v>0.19327244303554236</v>
      </c>
      <c r="U22" s="114">
        <v>4.0984333333333338E-2</v>
      </c>
      <c r="V22" s="49">
        <v>8.4089777232727758E-2</v>
      </c>
      <c r="W22" s="114">
        <v>3.9836000000000003E-2</v>
      </c>
      <c r="X22" s="49">
        <v>8.3355443078565336E-2</v>
      </c>
      <c r="Y22" s="114">
        <v>3.0904000000000001E-2</v>
      </c>
      <c r="Z22" s="49">
        <v>6.6761188956778864E-2</v>
      </c>
      <c r="AA22" s="114">
        <v>3.5380000000000002E-2</v>
      </c>
      <c r="AB22" s="49">
        <v>7.3486931109811068E-2</v>
      </c>
      <c r="AC22" s="114">
        <v>4.0273999999999997E-2</v>
      </c>
      <c r="AD22" s="49">
        <v>7.9535777721537415E-2</v>
      </c>
      <c r="AE22" s="114">
        <v>2.6865E-2</v>
      </c>
      <c r="AF22" s="49">
        <v>6.1214681212803955E-2</v>
      </c>
      <c r="AG22" s="114">
        <v>2.8851999999999999E-2</v>
      </c>
      <c r="AH22" s="49">
        <v>6.2240835992120845E-2</v>
      </c>
      <c r="AI22" s="114">
        <v>3.0141999999999999E-2</v>
      </c>
      <c r="AJ22" s="49">
        <v>6.5197078475365058E-2</v>
      </c>
      <c r="AK22" s="114">
        <v>3.6892000000000001E-2</v>
      </c>
      <c r="AL22" s="49">
        <v>7.602307547891865E-2</v>
      </c>
      <c r="AM22" s="114">
        <v>2.6599999999999999E-2</v>
      </c>
      <c r="AN22" s="49">
        <v>5.5895485476898141E-2</v>
      </c>
      <c r="AO22" s="114">
        <v>3.2829999999999998E-2</v>
      </c>
      <c r="AP22" s="49">
        <v>7.2487282639365505E-2</v>
      </c>
      <c r="AQ22" s="114">
        <v>2.9478000000000001E-2</v>
      </c>
      <c r="AR22" s="49">
        <v>6.458479414021831E-2</v>
      </c>
      <c r="AS22" s="114">
        <v>3.2393999999999999E-2</v>
      </c>
      <c r="AT22" s="49">
        <v>7.3290911917880411E-2</v>
      </c>
      <c r="AU22" s="114">
        <v>2.0650999999999999E-2</v>
      </c>
      <c r="AV22" s="49">
        <v>4.9548545818160795E-2</v>
      </c>
      <c r="AW22" s="114">
        <v>2.8566000000000001E-2</v>
      </c>
      <c r="AX22" s="49">
        <v>6.3989856184901051E-2</v>
      </c>
      <c r="AY22" s="114">
        <v>5.13E-3</v>
      </c>
      <c r="AZ22" s="49">
        <v>1.3279721928398019E-2</v>
      </c>
      <c r="BA22" s="114">
        <v>4.6020000000000002E-3</v>
      </c>
      <c r="BB22" s="49">
        <v>1.1951649097300265E-2</v>
      </c>
      <c r="BC22" s="114">
        <v>5.3629999999999997E-3</v>
      </c>
      <c r="BD22" s="49">
        <v>1.3863686933851144E-2</v>
      </c>
      <c r="BE22" s="114">
        <v>6.1069999999999996E-3</v>
      </c>
      <c r="BF22" s="49">
        <v>1.5678248614371525E-2</v>
      </c>
      <c r="BG22" s="114">
        <v>6.6400000000000001E-3</v>
      </c>
      <c r="BH22" s="49">
        <v>1.7058399563668974E-2</v>
      </c>
      <c r="BI22" s="114">
        <v>4.1978000000000001E-2</v>
      </c>
      <c r="BJ22" s="49">
        <v>9.2307898670302882E-2</v>
      </c>
      <c r="BK22" s="114">
        <v>5.8094E-2</v>
      </c>
      <c r="BL22" s="49">
        <v>0.11953087401350188</v>
      </c>
      <c r="BM22" s="114">
        <v>5.0089000000000002E-2</v>
      </c>
      <c r="BN22" s="49">
        <v>0.10541572024352153</v>
      </c>
      <c r="BO22" s="114">
        <v>6.8670999999999996E-2</v>
      </c>
      <c r="BP22" s="49">
        <v>0.1261260676510404</v>
      </c>
      <c r="BQ22" s="114">
        <v>5.8886000000000001E-2</v>
      </c>
      <c r="BR22" s="49">
        <v>0.12103869148743145</v>
      </c>
      <c r="BS22" s="114">
        <v>6.1460000000000001E-2</v>
      </c>
      <c r="BT22" s="49">
        <v>0.12452476276552345</v>
      </c>
      <c r="BU22" s="114">
        <v>1.2678999999999999E-2</v>
      </c>
      <c r="BV22" s="49">
        <v>3.1550247585690597E-2</v>
      </c>
      <c r="BW22" s="161">
        <f t="shared" si="0"/>
        <v>7.0134770585867465E-2</v>
      </c>
      <c r="BX22" s="166">
        <f t="shared" si="1"/>
        <v>7.0063171132684028</v>
      </c>
      <c r="BY22" s="17">
        <f t="shared" si="2"/>
        <v>3.7526845161882004E-2</v>
      </c>
      <c r="CC22" s="17"/>
      <c r="CD22" s="105">
        <v>4.0984333333333338E-2</v>
      </c>
      <c r="CE22" s="49">
        <v>8.4089777232727758E-2</v>
      </c>
      <c r="CF22" s="114">
        <v>3.9836000000000003E-2</v>
      </c>
      <c r="CG22" s="49">
        <v>8.3355443078565336E-2</v>
      </c>
      <c r="CH22" s="114">
        <v>3.0904000000000001E-2</v>
      </c>
      <c r="CI22" s="49">
        <v>6.6761188956778864E-2</v>
      </c>
      <c r="CJ22" s="114">
        <v>3.5380000000000002E-2</v>
      </c>
      <c r="CK22" s="49">
        <v>7.3486931109811068E-2</v>
      </c>
      <c r="CL22" s="114">
        <v>4.0273999999999997E-2</v>
      </c>
      <c r="CM22" s="49">
        <v>7.9535777721537415E-2</v>
      </c>
      <c r="CN22" s="114">
        <v>2.6865E-2</v>
      </c>
      <c r="CO22" s="49">
        <v>6.1214681212803955E-2</v>
      </c>
      <c r="CP22" s="114">
        <v>2.8851999999999999E-2</v>
      </c>
      <c r="CQ22" s="49">
        <v>6.2240835992120845E-2</v>
      </c>
      <c r="CR22" s="114">
        <v>3.0141999999999999E-2</v>
      </c>
      <c r="CS22" s="49">
        <v>6.5197078475365058E-2</v>
      </c>
      <c r="CT22" s="114">
        <v>3.6892000000000001E-2</v>
      </c>
      <c r="CU22" s="49">
        <v>7.602307547891865E-2</v>
      </c>
      <c r="CV22" s="114">
        <v>2.6599999999999999E-2</v>
      </c>
      <c r="CW22" s="49">
        <v>5.5895485476898141E-2</v>
      </c>
      <c r="CX22" s="114">
        <v>3.2829999999999998E-2</v>
      </c>
      <c r="CY22" s="49">
        <v>7.2487282639365505E-2</v>
      </c>
      <c r="CZ22" s="114">
        <v>2.9478000000000001E-2</v>
      </c>
      <c r="DA22" s="49">
        <v>6.458479414021831E-2</v>
      </c>
      <c r="DB22" s="114">
        <v>3.2393999999999999E-2</v>
      </c>
      <c r="DC22" s="49">
        <v>7.3290911917880411E-2</v>
      </c>
      <c r="DD22" s="114">
        <v>2.0650999999999999E-2</v>
      </c>
      <c r="DE22" s="49">
        <v>4.9548545818160795E-2</v>
      </c>
      <c r="DF22" s="114">
        <v>2.8566000000000001E-2</v>
      </c>
      <c r="DG22" s="49">
        <v>6.3989856184901051E-2</v>
      </c>
      <c r="DH22" s="114">
        <v>5.13E-3</v>
      </c>
      <c r="DI22" s="49">
        <v>1.3279721928398019E-2</v>
      </c>
      <c r="DJ22" s="114">
        <v>4.6020000000000002E-3</v>
      </c>
      <c r="DK22" s="49">
        <v>1.1951649097300265E-2</v>
      </c>
      <c r="DL22" s="114">
        <v>5.3629999999999997E-3</v>
      </c>
      <c r="DM22" s="49">
        <v>1.3863686933851144E-2</v>
      </c>
      <c r="DN22" s="114">
        <v>6.1069999999999996E-3</v>
      </c>
      <c r="DO22" s="49">
        <v>1.5678248614371525E-2</v>
      </c>
      <c r="DP22" s="114">
        <v>6.6400000000000001E-3</v>
      </c>
      <c r="DQ22" s="49">
        <v>1.7058399563668974E-2</v>
      </c>
      <c r="DR22" s="114">
        <v>4.1978000000000001E-2</v>
      </c>
      <c r="DS22" s="49">
        <v>9.2307898670302882E-2</v>
      </c>
      <c r="DT22" s="114">
        <v>5.8094E-2</v>
      </c>
      <c r="DU22" s="49">
        <v>0.11953087401350188</v>
      </c>
      <c r="DV22" s="114">
        <v>5.0089000000000002E-2</v>
      </c>
      <c r="DW22" s="49">
        <v>0.10541572024352153</v>
      </c>
      <c r="DX22" s="114">
        <v>6.8670999999999996E-2</v>
      </c>
      <c r="DY22" s="49">
        <v>0.1261260676510404</v>
      </c>
      <c r="DZ22" s="114">
        <v>5.8886000000000001E-2</v>
      </c>
      <c r="EA22" s="49">
        <v>0.12103869148743145</v>
      </c>
      <c r="EB22" s="114">
        <v>6.1460000000000001E-2</v>
      </c>
      <c r="EC22" s="49">
        <v>0.12452476276552345</v>
      </c>
      <c r="ED22" s="114">
        <v>1.2678999999999999E-2</v>
      </c>
      <c r="EE22" s="49">
        <v>3.1550247585690597E-2</v>
      </c>
    </row>
    <row r="23" spans="1:135" x14ac:dyDescent="0.35">
      <c r="A23" s="140">
        <f>12.0107*4+1.00794*10</f>
        <v>58.122199999999999</v>
      </c>
      <c r="B23" s="17">
        <v>491</v>
      </c>
      <c r="C23" s="131" t="s">
        <v>130</v>
      </c>
      <c r="D23" s="99" t="s">
        <v>130</v>
      </c>
      <c r="E23" s="114">
        <v>3.1250000000000002E-3</v>
      </c>
      <c r="F23" s="49">
        <v>9.5042746933234994E-3</v>
      </c>
      <c r="G23" s="114">
        <v>3.199E-3</v>
      </c>
      <c r="H23" s="49">
        <v>9.7140958738706745E-3</v>
      </c>
      <c r="I23" s="114">
        <v>3.13E-3</v>
      </c>
      <c r="J23" s="49">
        <v>9.4346667851656456E-3</v>
      </c>
      <c r="K23" s="114">
        <v>1.547E-3</v>
      </c>
      <c r="L23" s="49">
        <v>4.9664220712982501E-3</v>
      </c>
      <c r="M23" s="114">
        <v>3.0760000000000002E-3</v>
      </c>
      <c r="N23" s="49">
        <v>9.383579184818169E-3</v>
      </c>
      <c r="O23" s="114">
        <v>4.3299999999999996E-3</v>
      </c>
      <c r="P23" s="49">
        <v>1.2441539704815362E-2</v>
      </c>
      <c r="Q23" s="114">
        <v>5.2139999999999999E-3</v>
      </c>
      <c r="R23" s="49">
        <v>1.5254718520792521E-2</v>
      </c>
      <c r="S23" s="114">
        <v>1.553E-2</v>
      </c>
      <c r="T23" s="49">
        <v>3.3584794312158411E-2</v>
      </c>
      <c r="U23" s="114">
        <v>8.6930000000000011E-3</v>
      </c>
      <c r="V23" s="49">
        <v>2.3509402836798768E-2</v>
      </c>
      <c r="W23" s="114">
        <v>5.6360000000000004E-3</v>
      </c>
      <c r="X23" s="49">
        <v>1.5544466323113851E-2</v>
      </c>
      <c r="Y23" s="114">
        <v>3.833E-3</v>
      </c>
      <c r="Z23" s="49">
        <v>1.0914272124727592E-2</v>
      </c>
      <c r="AA23" s="114">
        <v>5.5040000000000002E-3</v>
      </c>
      <c r="AB23" s="49">
        <v>1.5068752474939443E-2</v>
      </c>
      <c r="AC23" s="114">
        <v>1.4562E-2</v>
      </c>
      <c r="AD23" s="49">
        <v>3.7905775338719562E-2</v>
      </c>
      <c r="AE23" s="114">
        <v>3.3159999999999999E-3</v>
      </c>
      <c r="AF23" s="49">
        <v>9.9593239805244489E-3</v>
      </c>
      <c r="AG23" s="114">
        <v>5.9870000000000001E-3</v>
      </c>
      <c r="AH23" s="49">
        <v>1.7023754321352225E-2</v>
      </c>
      <c r="AI23" s="114">
        <v>3.15E-3</v>
      </c>
      <c r="AJ23" s="49">
        <v>8.9807625664395149E-3</v>
      </c>
      <c r="AK23" s="114">
        <v>7.8150000000000008E-3</v>
      </c>
      <c r="AL23" s="49">
        <v>2.1227009214085889E-2</v>
      </c>
      <c r="AM23" s="114">
        <v>5.012E-3</v>
      </c>
      <c r="AN23" s="49">
        <v>1.3882022675444174E-2</v>
      </c>
      <c r="AO23" s="114">
        <v>4.3179999999999998E-3</v>
      </c>
      <c r="AP23" s="49">
        <v>1.2566668706342734E-2</v>
      </c>
      <c r="AQ23" s="114">
        <v>4.4159999999999998E-3</v>
      </c>
      <c r="AR23" s="49">
        <v>1.2752869660952442E-2</v>
      </c>
      <c r="AS23" s="114">
        <v>3.9449999999999997E-3</v>
      </c>
      <c r="AT23" s="49">
        <v>1.1764653655530638E-2</v>
      </c>
      <c r="AU23" s="114">
        <v>2.3089999999999999E-3</v>
      </c>
      <c r="AV23" s="49">
        <v>7.3023114241238789E-3</v>
      </c>
      <c r="AW23" s="114">
        <v>3.9060000000000002E-3</v>
      </c>
      <c r="AX23" s="49">
        <v>1.1532953272632334E-2</v>
      </c>
      <c r="AY23" s="114">
        <v>4.75E-4</v>
      </c>
      <c r="AZ23" s="49">
        <v>1.6207342762260394E-3</v>
      </c>
      <c r="BA23" s="114">
        <v>3.6600000000000001E-4</v>
      </c>
      <c r="BB23" s="49">
        <v>1.2528783251164837E-3</v>
      </c>
      <c r="BC23" s="114">
        <v>3.6999999999999999E-4</v>
      </c>
      <c r="BD23" s="49">
        <v>1.2607217954752755E-3</v>
      </c>
      <c r="BE23" s="114">
        <v>5.2599999999999999E-4</v>
      </c>
      <c r="BF23" s="49">
        <v>1.7799260626393818E-3</v>
      </c>
      <c r="BG23" s="114">
        <v>5.2499999999999997E-4</v>
      </c>
      <c r="BH23" s="49">
        <v>1.7777721485966983E-3</v>
      </c>
      <c r="BI23" s="114">
        <v>4.6410000000000002E-3</v>
      </c>
      <c r="BJ23" s="49">
        <v>1.3451641397011051E-2</v>
      </c>
      <c r="BK23" s="114">
        <v>6.96E-3</v>
      </c>
      <c r="BL23" s="49">
        <v>1.887576863905294E-2</v>
      </c>
      <c r="BM23" s="114">
        <v>5.7089999999999997E-3</v>
      </c>
      <c r="BN23" s="49">
        <v>1.5836880996241205E-2</v>
      </c>
      <c r="BO23" s="114">
        <v>1.1077E-2</v>
      </c>
      <c r="BP23" s="49">
        <v>2.6816384916450615E-2</v>
      </c>
      <c r="BQ23" s="114">
        <v>7.8519999999999996E-3</v>
      </c>
      <c r="BR23" s="49">
        <v>2.1273504894590445E-2</v>
      </c>
      <c r="BS23" s="114">
        <v>7.7120000000000001E-3</v>
      </c>
      <c r="BT23" s="49">
        <v>2.0595710528881487E-2</v>
      </c>
      <c r="BU23" s="114">
        <v>1.4450000000000001E-3</v>
      </c>
      <c r="BV23" s="49">
        <v>4.7394965135438951E-3</v>
      </c>
      <c r="BW23" s="161">
        <f t="shared" si="0"/>
        <v>1.3242871720451301E-2</v>
      </c>
      <c r="BX23" s="166">
        <f t="shared" si="1"/>
        <v>1.3229352286854497</v>
      </c>
      <c r="BY23" s="17">
        <f t="shared" si="2"/>
        <v>8.6055307727394021E-3</v>
      </c>
      <c r="CC23" s="17"/>
      <c r="CD23" s="105">
        <v>8.6930000000000011E-3</v>
      </c>
      <c r="CE23" s="49">
        <v>2.3509402836798768E-2</v>
      </c>
      <c r="CF23" s="114">
        <v>5.6360000000000004E-3</v>
      </c>
      <c r="CG23" s="49">
        <v>1.5544466323113851E-2</v>
      </c>
      <c r="CH23" s="114">
        <v>3.833E-3</v>
      </c>
      <c r="CI23" s="49">
        <v>1.0914272124727592E-2</v>
      </c>
      <c r="CJ23" s="114">
        <v>5.5040000000000002E-3</v>
      </c>
      <c r="CK23" s="49">
        <v>1.5068752474939443E-2</v>
      </c>
      <c r="CL23" s="114">
        <v>1.4562E-2</v>
      </c>
      <c r="CM23" s="49">
        <v>3.7905775338719562E-2</v>
      </c>
      <c r="CN23" s="114">
        <v>3.3159999999999999E-3</v>
      </c>
      <c r="CO23" s="49">
        <v>9.9593239805244489E-3</v>
      </c>
      <c r="CP23" s="114">
        <v>5.9870000000000001E-3</v>
      </c>
      <c r="CQ23" s="49">
        <v>1.7023754321352225E-2</v>
      </c>
      <c r="CR23" s="114">
        <v>3.15E-3</v>
      </c>
      <c r="CS23" s="49">
        <v>8.9807625664395149E-3</v>
      </c>
      <c r="CT23" s="114">
        <v>7.8150000000000008E-3</v>
      </c>
      <c r="CU23" s="49">
        <v>2.1227009214085889E-2</v>
      </c>
      <c r="CV23" s="114">
        <v>5.012E-3</v>
      </c>
      <c r="CW23" s="49">
        <v>1.3882022675444174E-2</v>
      </c>
      <c r="CX23" s="114">
        <v>4.3179999999999998E-3</v>
      </c>
      <c r="CY23" s="49">
        <v>1.2566668706342734E-2</v>
      </c>
      <c r="CZ23" s="114">
        <v>4.4159999999999998E-3</v>
      </c>
      <c r="DA23" s="49">
        <v>1.2752869660952442E-2</v>
      </c>
      <c r="DB23" s="114">
        <v>3.9449999999999997E-3</v>
      </c>
      <c r="DC23" s="49">
        <v>1.1764653655530638E-2</v>
      </c>
      <c r="DD23" s="114">
        <v>2.3089999999999999E-3</v>
      </c>
      <c r="DE23" s="49">
        <v>7.3023114241238789E-3</v>
      </c>
      <c r="DF23" s="114">
        <v>3.9060000000000002E-3</v>
      </c>
      <c r="DG23" s="49">
        <v>1.1532953272632334E-2</v>
      </c>
      <c r="DH23" s="114">
        <v>4.75E-4</v>
      </c>
      <c r="DI23" s="49">
        <v>1.6207342762260394E-3</v>
      </c>
      <c r="DJ23" s="114">
        <v>3.6600000000000001E-4</v>
      </c>
      <c r="DK23" s="49">
        <v>1.2528783251164837E-3</v>
      </c>
      <c r="DL23" s="114">
        <v>3.6999999999999999E-4</v>
      </c>
      <c r="DM23" s="49">
        <v>1.2607217954752755E-3</v>
      </c>
      <c r="DN23" s="114">
        <v>5.2599999999999999E-4</v>
      </c>
      <c r="DO23" s="49">
        <v>1.7799260626393818E-3</v>
      </c>
      <c r="DP23" s="114">
        <v>5.2499999999999997E-4</v>
      </c>
      <c r="DQ23" s="49">
        <v>1.7777721485966983E-3</v>
      </c>
      <c r="DR23" s="114">
        <v>4.6410000000000002E-3</v>
      </c>
      <c r="DS23" s="49">
        <v>1.3451641397011051E-2</v>
      </c>
      <c r="DT23" s="114">
        <v>6.96E-3</v>
      </c>
      <c r="DU23" s="49">
        <v>1.887576863905294E-2</v>
      </c>
      <c r="DV23" s="114">
        <v>5.7089999999999997E-3</v>
      </c>
      <c r="DW23" s="49">
        <v>1.5836880996241205E-2</v>
      </c>
      <c r="DX23" s="114">
        <v>1.1077E-2</v>
      </c>
      <c r="DY23" s="49">
        <v>2.6816384916450615E-2</v>
      </c>
      <c r="DZ23" s="114">
        <v>7.8519999999999996E-3</v>
      </c>
      <c r="EA23" s="49">
        <v>2.1273504894590445E-2</v>
      </c>
      <c r="EB23" s="114">
        <v>7.7120000000000001E-3</v>
      </c>
      <c r="EC23" s="49">
        <v>2.0595710528881487E-2</v>
      </c>
      <c r="ED23" s="114">
        <v>1.4450000000000001E-3</v>
      </c>
      <c r="EE23" s="49">
        <v>4.7394965135438951E-3</v>
      </c>
    </row>
    <row r="24" spans="1:135" x14ac:dyDescent="0.35">
      <c r="A24" s="140">
        <f>12.0107*4+1.00794*10</f>
        <v>58.122199999999999</v>
      </c>
      <c r="B24" s="17">
        <v>592</v>
      </c>
      <c r="C24" s="131" t="s">
        <v>131</v>
      </c>
      <c r="D24" s="99" t="s">
        <v>131</v>
      </c>
      <c r="E24" s="114">
        <v>5.1590000000000004E-3</v>
      </c>
      <c r="F24" s="49">
        <v>1.56904170057139E-2</v>
      </c>
      <c r="G24" s="114">
        <v>5.3489999999999996E-3</v>
      </c>
      <c r="H24" s="49">
        <v>1.6242794257372375E-2</v>
      </c>
      <c r="I24" s="114">
        <v>5.3880000000000004E-3</v>
      </c>
      <c r="J24" s="49">
        <v>1.6240889660853835E-2</v>
      </c>
      <c r="K24" s="114">
        <v>2.2179999999999999E-3</v>
      </c>
      <c r="L24" s="49">
        <v>7.1205715282091266E-3</v>
      </c>
      <c r="M24" s="114">
        <v>5.0699999999999999E-3</v>
      </c>
      <c r="N24" s="49">
        <v>1.54664325315436E-2</v>
      </c>
      <c r="O24" s="114">
        <v>8.2299999999999995E-3</v>
      </c>
      <c r="P24" s="49">
        <v>2.3647545443563612E-2</v>
      </c>
      <c r="Q24" s="114">
        <v>7.5909999999999997E-3</v>
      </c>
      <c r="R24" s="49">
        <v>2.2209161544176452E-2</v>
      </c>
      <c r="S24" s="114">
        <v>2.8539999999999999E-2</v>
      </c>
      <c r="T24" s="49">
        <v>6.1719898884030976E-2</v>
      </c>
      <c r="U24" s="114">
        <v>1.8779666666666667E-2</v>
      </c>
      <c r="V24" s="49">
        <v>5.0787846406012714E-2</v>
      </c>
      <c r="W24" s="114">
        <v>1.1738999999999999E-2</v>
      </c>
      <c r="X24" s="49">
        <v>3.2376949994150722E-2</v>
      </c>
      <c r="Y24" s="114">
        <v>8.2199999999999999E-3</v>
      </c>
      <c r="Z24" s="49">
        <v>2.3406031011025518E-2</v>
      </c>
      <c r="AA24" s="114">
        <v>1.2996000000000001E-2</v>
      </c>
      <c r="AB24" s="49">
        <v>3.5580215691190589E-2</v>
      </c>
      <c r="AC24" s="114">
        <v>2.9867999999999999E-2</v>
      </c>
      <c r="AD24" s="49">
        <v>7.7748228115428905E-2</v>
      </c>
      <c r="AE24" s="114">
        <v>5.1609999999999998E-3</v>
      </c>
      <c r="AF24" s="49">
        <v>1.5500624566793329E-2</v>
      </c>
      <c r="AG24" s="114">
        <v>1.3537E-2</v>
      </c>
      <c r="AH24" s="49">
        <v>3.8491825997685837E-2</v>
      </c>
      <c r="AI24" s="114">
        <v>5.078E-3</v>
      </c>
      <c r="AJ24" s="49">
        <v>1.4477559464247574E-2</v>
      </c>
      <c r="AK24" s="114">
        <v>1.6988E-2</v>
      </c>
      <c r="AL24" s="49">
        <v>4.6142601731144088E-2</v>
      </c>
      <c r="AM24" s="114">
        <v>1.1598000000000001E-2</v>
      </c>
      <c r="AN24" s="49">
        <v>3.2123643054629197E-2</v>
      </c>
      <c r="AO24" s="114">
        <v>7.515E-3</v>
      </c>
      <c r="AP24" s="49">
        <v>2.1870892850432058E-2</v>
      </c>
      <c r="AQ24" s="114">
        <v>9.1140000000000006E-3</v>
      </c>
      <c r="AR24" s="49">
        <v>2.6320120944275494E-2</v>
      </c>
      <c r="AS24" s="114">
        <v>6.234E-3</v>
      </c>
      <c r="AT24" s="49">
        <v>1.8590836727142714E-2</v>
      </c>
      <c r="AU24" s="114">
        <v>3.591E-3</v>
      </c>
      <c r="AV24" s="49">
        <v>1.1356691348648267E-2</v>
      </c>
      <c r="AW24" s="114">
        <v>7.1850000000000004E-3</v>
      </c>
      <c r="AX24" s="49">
        <v>2.1214610666631675E-2</v>
      </c>
      <c r="AY24" s="114">
        <v>6.38E-4</v>
      </c>
      <c r="AZ24" s="49">
        <v>2.1769020383836063E-3</v>
      </c>
      <c r="BA24" s="114">
        <v>4.8099999999999998E-4</v>
      </c>
      <c r="BB24" s="49">
        <v>1.6465422797295865E-3</v>
      </c>
      <c r="BC24" s="114">
        <v>5.0900000000000001E-4</v>
      </c>
      <c r="BD24" s="49">
        <v>1.7343443078295009E-3</v>
      </c>
      <c r="BE24" s="114">
        <v>7.5100000000000004E-4</v>
      </c>
      <c r="BF24" s="49">
        <v>2.5413012795478629E-3</v>
      </c>
      <c r="BG24" s="114">
        <v>7.0799999999999997E-4</v>
      </c>
      <c r="BH24" s="49">
        <v>2.3974527261075474E-3</v>
      </c>
      <c r="BI24" s="114">
        <v>9.4039999999999992E-3</v>
      </c>
      <c r="BJ24" s="49">
        <v>2.725689198394568E-2</v>
      </c>
      <c r="BK24" s="114">
        <v>1.5068E-2</v>
      </c>
      <c r="BL24" s="49">
        <v>4.0864954289260014E-2</v>
      </c>
      <c r="BM24" s="114">
        <v>1.2293E-2</v>
      </c>
      <c r="BN24" s="49">
        <v>3.4101029617585071E-2</v>
      </c>
      <c r="BO24" s="114">
        <v>2.9145000000000001E-2</v>
      </c>
      <c r="BP24" s="49">
        <v>7.0557329456527318E-2</v>
      </c>
      <c r="BQ24" s="114">
        <v>1.6938999999999999E-2</v>
      </c>
      <c r="BR24" s="49">
        <v>4.5893008075581707E-2</v>
      </c>
      <c r="BS24" s="114">
        <v>1.7340000000000001E-2</v>
      </c>
      <c r="BT24" s="49">
        <v>4.6308301422562884E-2</v>
      </c>
      <c r="BU24" s="114">
        <v>2.111E-3</v>
      </c>
      <c r="BV24" s="49">
        <v>6.9239288166720852E-3</v>
      </c>
      <c r="BW24" s="161">
        <f t="shared" si="0"/>
        <v>2.647795359196101E-2</v>
      </c>
      <c r="BX24" s="166">
        <f t="shared" si="1"/>
        <v>2.6450922677298223</v>
      </c>
      <c r="BY24" s="17">
        <f t="shared" si="2"/>
        <v>1.950679060622271E-2</v>
      </c>
      <c r="CB24" s="143"/>
      <c r="CD24" s="105">
        <v>1.8779666666666667E-2</v>
      </c>
      <c r="CE24" s="49">
        <v>5.0787846406012714E-2</v>
      </c>
      <c r="CF24" s="114">
        <v>1.1738999999999999E-2</v>
      </c>
      <c r="CG24" s="49">
        <v>3.2376949994150722E-2</v>
      </c>
      <c r="CH24" s="114">
        <v>8.2199999999999999E-3</v>
      </c>
      <c r="CI24" s="49">
        <v>2.3406031011025518E-2</v>
      </c>
      <c r="CJ24" s="114">
        <v>1.2996000000000001E-2</v>
      </c>
      <c r="CK24" s="49">
        <v>3.5580215691190589E-2</v>
      </c>
      <c r="CL24" s="114">
        <v>2.9867999999999999E-2</v>
      </c>
      <c r="CM24" s="49">
        <v>7.7748228115428905E-2</v>
      </c>
      <c r="CN24" s="114">
        <v>5.1609999999999998E-3</v>
      </c>
      <c r="CO24" s="49">
        <v>1.5500624566793329E-2</v>
      </c>
      <c r="CP24" s="114">
        <v>1.3537E-2</v>
      </c>
      <c r="CQ24" s="49">
        <v>3.8491825997685837E-2</v>
      </c>
      <c r="CR24" s="114">
        <v>5.078E-3</v>
      </c>
      <c r="CS24" s="49">
        <v>1.4477559464247574E-2</v>
      </c>
      <c r="CT24" s="114">
        <v>1.6988E-2</v>
      </c>
      <c r="CU24" s="49">
        <v>4.6142601731144088E-2</v>
      </c>
      <c r="CV24" s="114">
        <v>1.1598000000000001E-2</v>
      </c>
      <c r="CW24" s="49">
        <v>3.2123643054629197E-2</v>
      </c>
      <c r="CX24" s="114">
        <v>7.515E-3</v>
      </c>
      <c r="CY24" s="49">
        <v>2.1870892850432058E-2</v>
      </c>
      <c r="CZ24" s="114">
        <v>9.1140000000000006E-3</v>
      </c>
      <c r="DA24" s="49">
        <v>2.6320120944275494E-2</v>
      </c>
      <c r="DB24" s="114">
        <v>6.234E-3</v>
      </c>
      <c r="DC24" s="49">
        <v>1.8590836727142714E-2</v>
      </c>
      <c r="DD24" s="114">
        <v>3.591E-3</v>
      </c>
      <c r="DE24" s="49">
        <v>1.1356691348648267E-2</v>
      </c>
      <c r="DF24" s="114">
        <v>7.1850000000000004E-3</v>
      </c>
      <c r="DG24" s="49">
        <v>2.1214610666631675E-2</v>
      </c>
      <c r="DH24" s="114">
        <v>6.38E-4</v>
      </c>
      <c r="DI24" s="49">
        <v>2.1769020383836063E-3</v>
      </c>
      <c r="DJ24" s="114">
        <v>4.8099999999999998E-4</v>
      </c>
      <c r="DK24" s="49">
        <v>1.6465422797295865E-3</v>
      </c>
      <c r="DL24" s="114">
        <v>5.0900000000000001E-4</v>
      </c>
      <c r="DM24" s="49">
        <v>1.7343443078295009E-3</v>
      </c>
      <c r="DN24" s="114">
        <v>7.5100000000000004E-4</v>
      </c>
      <c r="DO24" s="49">
        <v>2.5413012795478629E-3</v>
      </c>
      <c r="DP24" s="114">
        <v>7.0799999999999997E-4</v>
      </c>
      <c r="DQ24" s="49">
        <v>2.3974527261075474E-3</v>
      </c>
      <c r="DR24" s="114">
        <v>9.4039999999999992E-3</v>
      </c>
      <c r="DS24" s="49">
        <v>2.725689198394568E-2</v>
      </c>
      <c r="DT24" s="114">
        <v>1.5068E-2</v>
      </c>
      <c r="DU24" s="49">
        <v>4.0864954289260014E-2</v>
      </c>
      <c r="DV24" s="114">
        <v>1.2293E-2</v>
      </c>
      <c r="DW24" s="49">
        <v>3.4101029617585071E-2</v>
      </c>
      <c r="DX24" s="114">
        <v>2.9145000000000001E-2</v>
      </c>
      <c r="DY24" s="49">
        <v>7.0557329456527318E-2</v>
      </c>
      <c r="DZ24" s="114">
        <v>1.6938999999999999E-2</v>
      </c>
      <c r="EA24" s="49">
        <v>4.5893008075581707E-2</v>
      </c>
      <c r="EB24" s="114">
        <v>1.7340000000000001E-2</v>
      </c>
      <c r="EC24" s="49">
        <v>4.6308301422562884E-2</v>
      </c>
      <c r="ED24" s="114">
        <v>2.111E-3</v>
      </c>
      <c r="EE24" s="49">
        <v>6.9239288166720852E-3</v>
      </c>
    </row>
    <row r="25" spans="1:135" x14ac:dyDescent="0.35">
      <c r="A25" s="140">
        <f>12.0107*5+1.00794*12</f>
        <v>72.148780000000002</v>
      </c>
      <c r="B25" s="17">
        <v>508</v>
      </c>
      <c r="C25" s="131" t="s">
        <v>133</v>
      </c>
      <c r="D25" s="99" t="s">
        <v>133</v>
      </c>
      <c r="E25" s="114">
        <v>1.3010000000000001E-3</v>
      </c>
      <c r="F25" s="49">
        <v>4.91171548443533E-3</v>
      </c>
      <c r="G25" s="114">
        <v>1.3240000000000001E-3</v>
      </c>
      <c r="H25" s="49">
        <v>4.9907185392435733E-3</v>
      </c>
      <c r="I25" s="114">
        <v>1.377E-3</v>
      </c>
      <c r="J25" s="49">
        <v>5.1523234159125313E-3</v>
      </c>
      <c r="K25" s="114">
        <v>4.35E-4</v>
      </c>
      <c r="L25" s="49">
        <v>1.7335226313533669E-3</v>
      </c>
      <c r="M25" s="114">
        <v>1.2359999999999999E-3</v>
      </c>
      <c r="N25" s="49">
        <v>4.6804499992406439E-3</v>
      </c>
      <c r="O25" s="114">
        <v>2.16E-3</v>
      </c>
      <c r="P25" s="49">
        <v>7.7041890621570141E-3</v>
      </c>
      <c r="Q25" s="114">
        <v>2.3029999999999999E-3</v>
      </c>
      <c r="R25" s="49">
        <v>8.3640006299080544E-3</v>
      </c>
      <c r="S25" s="114">
        <v>6.0099999999999997E-3</v>
      </c>
      <c r="T25" s="49">
        <v>1.6133650933901587E-2</v>
      </c>
      <c r="U25" s="114">
        <v>7.4360000000000008E-3</v>
      </c>
      <c r="V25" s="49">
        <v>2.4963084479170769E-2</v>
      </c>
      <c r="W25" s="114">
        <v>4.5319999999999996E-3</v>
      </c>
      <c r="X25" s="49">
        <v>1.5516068216754138E-2</v>
      </c>
      <c r="Y25" s="114">
        <v>3.6419999999999998E-3</v>
      </c>
      <c r="Z25" s="49">
        <v>1.2873091236231884E-2</v>
      </c>
      <c r="AA25" s="114">
        <v>6.7330000000000003E-3</v>
      </c>
      <c r="AB25" s="49">
        <v>2.2882023934576973E-2</v>
      </c>
      <c r="AC25" s="114">
        <v>1.3877E-2</v>
      </c>
      <c r="AD25" s="49">
        <v>4.4840133105708918E-2</v>
      </c>
      <c r="AE25" s="114">
        <v>1.4419999999999999E-3</v>
      </c>
      <c r="AF25" s="49">
        <v>5.376102571705752E-3</v>
      </c>
      <c r="AG25" s="114">
        <v>6.5009999999999998E-3</v>
      </c>
      <c r="AH25" s="49">
        <v>2.2946328056752955E-2</v>
      </c>
      <c r="AI25" s="114">
        <v>2.5699999999999998E-3</v>
      </c>
      <c r="AJ25" s="49">
        <v>9.0954194371998809E-3</v>
      </c>
      <c r="AK25" s="114">
        <v>8.0829999999999999E-3</v>
      </c>
      <c r="AL25" s="49">
        <v>2.725331601610391E-2</v>
      </c>
      <c r="AM25" s="114">
        <v>7.4840000000000002E-3</v>
      </c>
      <c r="AN25" s="49">
        <v>2.57313405833192E-2</v>
      </c>
      <c r="AO25" s="114">
        <v>2.5509999999999999E-3</v>
      </c>
      <c r="AP25" s="49">
        <v>9.2158401624331584E-3</v>
      </c>
      <c r="AQ25" s="114">
        <v>4.5180000000000003E-3</v>
      </c>
      <c r="AR25" s="49">
        <v>1.6196158944822653E-2</v>
      </c>
      <c r="AS25" s="114">
        <v>1.2899999999999999E-3</v>
      </c>
      <c r="AT25" s="49">
        <v>4.7753894577235176E-3</v>
      </c>
      <c r="AU25" s="114">
        <v>7.0799999999999997E-4</v>
      </c>
      <c r="AV25" s="49">
        <v>2.7794356429841831E-3</v>
      </c>
      <c r="AW25" s="114">
        <v>3.3210000000000002E-3</v>
      </c>
      <c r="AX25" s="49">
        <v>1.2172060892698226E-2</v>
      </c>
      <c r="AY25" s="114">
        <v>1.2300000000000001E-4</v>
      </c>
      <c r="AZ25" s="49">
        <v>5.2096706196576705E-4</v>
      </c>
      <c r="BA25" s="114">
        <v>1.3300000000000001E-4</v>
      </c>
      <c r="BB25" s="49">
        <v>5.6515347041029274E-4</v>
      </c>
      <c r="BC25" s="114">
        <v>1.3999999999999999E-4</v>
      </c>
      <c r="BD25" s="49">
        <v>5.9215107205225171E-4</v>
      </c>
      <c r="BE25" s="114">
        <v>1.3899999999999999E-4</v>
      </c>
      <c r="BF25" s="49">
        <v>5.8387242587998192E-4</v>
      </c>
      <c r="BG25" s="114">
        <v>0</v>
      </c>
      <c r="BH25" s="49">
        <v>0</v>
      </c>
      <c r="BI25" s="114">
        <v>1.536E-3</v>
      </c>
      <c r="BJ25" s="49">
        <v>5.5263943973742624E-3</v>
      </c>
      <c r="BK25" s="114">
        <v>2.8860000000000001E-3</v>
      </c>
      <c r="BL25" s="49">
        <v>9.7158025430195936E-3</v>
      </c>
      <c r="BM25" s="114">
        <v>2.5460000000000001E-3</v>
      </c>
      <c r="BN25" s="49">
        <v>8.7670797440924497E-3</v>
      </c>
      <c r="BO25" s="114">
        <v>9.9570000000000006E-3</v>
      </c>
      <c r="BP25" s="49">
        <v>2.99222005503684E-2</v>
      </c>
      <c r="BQ25" s="114">
        <v>3.3379999999999998E-3</v>
      </c>
      <c r="BR25" s="49">
        <v>1.1226180899762616E-2</v>
      </c>
      <c r="BS25" s="114">
        <v>3.6440000000000001E-3</v>
      </c>
      <c r="BT25" s="49">
        <v>1.2080226406672948E-2</v>
      </c>
      <c r="BU25" s="114">
        <v>4.9399999999999997E-4</v>
      </c>
      <c r="BV25" s="49">
        <v>2.0113065003591118E-3</v>
      </c>
      <c r="BW25" s="161">
        <f t="shared" si="0"/>
        <v>1.1194219957322742E-2</v>
      </c>
      <c r="BX25" s="166">
        <f t="shared" si="1"/>
        <v>1.1182791959183387</v>
      </c>
      <c r="BY25" s="17">
        <f t="shared" si="2"/>
        <v>1.0306251664345099E-2</v>
      </c>
      <c r="CB25" s="144" t="s">
        <v>120</v>
      </c>
      <c r="CD25" s="105">
        <v>7.4360000000000008E-3</v>
      </c>
      <c r="CE25" s="49">
        <v>2.4963084479170769E-2</v>
      </c>
      <c r="CF25" s="114">
        <v>4.5319999999999996E-3</v>
      </c>
      <c r="CG25" s="49">
        <v>1.5516068216754138E-2</v>
      </c>
      <c r="CH25" s="114">
        <v>3.6419999999999998E-3</v>
      </c>
      <c r="CI25" s="49">
        <v>1.2873091236231884E-2</v>
      </c>
      <c r="CJ25" s="114">
        <v>6.7330000000000003E-3</v>
      </c>
      <c r="CK25" s="49">
        <v>2.2882023934576973E-2</v>
      </c>
      <c r="CL25" s="114">
        <v>1.3877E-2</v>
      </c>
      <c r="CM25" s="49">
        <v>4.4840133105708918E-2</v>
      </c>
      <c r="CN25" s="114">
        <v>1.4419999999999999E-3</v>
      </c>
      <c r="CO25" s="49">
        <v>5.376102571705752E-3</v>
      </c>
      <c r="CP25" s="114">
        <v>6.5009999999999998E-3</v>
      </c>
      <c r="CQ25" s="49">
        <v>2.2946328056752955E-2</v>
      </c>
      <c r="CR25" s="114">
        <v>2.5699999999999998E-3</v>
      </c>
      <c r="CS25" s="49">
        <v>9.0954194371998809E-3</v>
      </c>
      <c r="CT25" s="114">
        <v>8.0829999999999999E-3</v>
      </c>
      <c r="CU25" s="49">
        <v>2.725331601610391E-2</v>
      </c>
      <c r="CV25" s="114">
        <v>7.4840000000000002E-3</v>
      </c>
      <c r="CW25" s="49">
        <v>2.57313405833192E-2</v>
      </c>
      <c r="CX25" s="114">
        <v>2.5509999999999999E-3</v>
      </c>
      <c r="CY25" s="49">
        <v>9.2158401624331584E-3</v>
      </c>
      <c r="CZ25" s="114">
        <v>4.5180000000000003E-3</v>
      </c>
      <c r="DA25" s="49">
        <v>1.6196158944822653E-2</v>
      </c>
      <c r="DB25" s="114">
        <v>1.2899999999999999E-3</v>
      </c>
      <c r="DC25" s="49">
        <v>4.7753894577235176E-3</v>
      </c>
      <c r="DD25" s="114">
        <v>7.0799999999999997E-4</v>
      </c>
      <c r="DE25" s="49">
        <v>2.7794356429841831E-3</v>
      </c>
      <c r="DF25" s="114">
        <v>3.3210000000000002E-3</v>
      </c>
      <c r="DG25" s="49">
        <v>1.2172060892698226E-2</v>
      </c>
      <c r="DH25" s="114">
        <v>1.2300000000000001E-4</v>
      </c>
      <c r="DI25" s="49">
        <v>5.2096706196576705E-4</v>
      </c>
      <c r="DJ25" s="114">
        <v>1.3300000000000001E-4</v>
      </c>
      <c r="DK25" s="49">
        <v>5.6515347041029274E-4</v>
      </c>
      <c r="DL25" s="114">
        <v>1.3999999999999999E-4</v>
      </c>
      <c r="DM25" s="49">
        <v>5.9215107205225171E-4</v>
      </c>
      <c r="DN25" s="114">
        <v>1.3899999999999999E-4</v>
      </c>
      <c r="DO25" s="49">
        <v>5.8387242587998192E-4</v>
      </c>
      <c r="DP25" s="114">
        <v>0</v>
      </c>
      <c r="DQ25" s="49">
        <v>0</v>
      </c>
      <c r="DR25" s="114">
        <v>1.536E-3</v>
      </c>
      <c r="DS25" s="49">
        <v>5.5263943973742624E-3</v>
      </c>
      <c r="DT25" s="114">
        <v>2.8860000000000001E-3</v>
      </c>
      <c r="DU25" s="49">
        <v>9.7158025430195936E-3</v>
      </c>
      <c r="DV25" s="114">
        <v>2.5460000000000001E-3</v>
      </c>
      <c r="DW25" s="49">
        <v>8.7670797440924497E-3</v>
      </c>
      <c r="DX25" s="114">
        <v>9.9570000000000006E-3</v>
      </c>
      <c r="DY25" s="49">
        <v>2.99222005503684E-2</v>
      </c>
      <c r="DZ25" s="114">
        <v>3.3379999999999998E-3</v>
      </c>
      <c r="EA25" s="49">
        <v>1.1226180899762616E-2</v>
      </c>
      <c r="EB25" s="114">
        <v>3.6440000000000001E-3</v>
      </c>
      <c r="EC25" s="49">
        <v>1.2080226406672948E-2</v>
      </c>
      <c r="ED25" s="114">
        <v>4.9399999999999997E-4</v>
      </c>
      <c r="EE25" s="49">
        <v>2.0113065003591118E-3</v>
      </c>
    </row>
    <row r="26" spans="1:135" x14ac:dyDescent="0.35">
      <c r="A26" s="140">
        <f>12.0107*5+1.00794*12</f>
        <v>72.148780000000002</v>
      </c>
      <c r="B26" s="17">
        <v>605</v>
      </c>
      <c r="C26" s="131" t="s">
        <v>134</v>
      </c>
      <c r="D26" s="99" t="s">
        <v>134</v>
      </c>
      <c r="E26" s="114">
        <v>1.0330000000000001E-3</v>
      </c>
      <c r="F26" s="49">
        <v>3.8999247466730939E-3</v>
      </c>
      <c r="G26" s="114">
        <v>1.062E-3</v>
      </c>
      <c r="H26" s="49">
        <v>4.0031292210548908E-3</v>
      </c>
      <c r="I26" s="114">
        <v>1.219E-3</v>
      </c>
      <c r="J26" s="49">
        <v>4.5611345272312098E-3</v>
      </c>
      <c r="K26" s="114">
        <v>2.9100000000000003E-4</v>
      </c>
      <c r="L26" s="49">
        <v>1.1596668637329421E-3</v>
      </c>
      <c r="M26" s="114">
        <v>9.7499999999999996E-4</v>
      </c>
      <c r="N26" s="49">
        <v>3.6921025479446823E-3</v>
      </c>
      <c r="O26" s="114">
        <v>2.14E-3</v>
      </c>
      <c r="P26" s="49">
        <v>7.6328539782481537E-3</v>
      </c>
      <c r="Q26" s="114">
        <v>1.681E-3</v>
      </c>
      <c r="R26" s="49">
        <v>6.1050304207014502E-3</v>
      </c>
      <c r="S26" s="114">
        <v>4.9699999999999996E-3</v>
      </c>
      <c r="T26" s="49">
        <v>1.3341804516055057E-2</v>
      </c>
      <c r="U26" s="114">
        <v>6.9998333333333336E-3</v>
      </c>
      <c r="V26" s="49">
        <v>2.349884761163468E-2</v>
      </c>
      <c r="W26" s="114">
        <v>4.9950000000000003E-3</v>
      </c>
      <c r="X26" s="49">
        <v>1.7101226995297203E-2</v>
      </c>
      <c r="Y26" s="114">
        <v>4.3140000000000001E-3</v>
      </c>
      <c r="Z26" s="49">
        <v>1.5248356835009434E-2</v>
      </c>
      <c r="AA26" s="114">
        <v>7.5760000000000003E-3</v>
      </c>
      <c r="AB26" s="49">
        <v>2.5746949848263055E-2</v>
      </c>
      <c r="AC26" s="114">
        <v>1.0472E-2</v>
      </c>
      <c r="AD26" s="49">
        <v>3.3837707997620793E-2</v>
      </c>
      <c r="AE26" s="114">
        <v>1.413E-3</v>
      </c>
      <c r="AF26" s="49">
        <v>5.2679840040362191E-3</v>
      </c>
      <c r="AG26" s="114">
        <v>5.4990000000000004E-3</v>
      </c>
      <c r="AH26" s="49">
        <v>1.94096074425603E-2</v>
      </c>
      <c r="AI26" s="114">
        <v>3.199E-3</v>
      </c>
      <c r="AJ26" s="49">
        <v>1.1321496801401718E-2</v>
      </c>
      <c r="AK26" s="114">
        <v>7.0860000000000003E-3</v>
      </c>
      <c r="AL26" s="49">
        <v>2.3891747778066592E-2</v>
      </c>
      <c r="AM26" s="114">
        <v>7.4380000000000002E-3</v>
      </c>
      <c r="AN26" s="49">
        <v>2.5573184294324987E-2</v>
      </c>
      <c r="AO26" s="114">
        <v>2.614E-3</v>
      </c>
      <c r="AP26" s="49">
        <v>9.443436371854283E-3</v>
      </c>
      <c r="AQ26" s="114">
        <v>4.4689999999999999E-3</v>
      </c>
      <c r="AR26" s="49">
        <v>1.6020503391857555E-2</v>
      </c>
      <c r="AS26" s="114">
        <v>9.2699999999999998E-4</v>
      </c>
      <c r="AT26" s="49">
        <v>3.4316170754338767E-3</v>
      </c>
      <c r="AU26" s="114">
        <v>5.6099999999999998E-4</v>
      </c>
      <c r="AV26" s="49">
        <v>2.2023494289747556E-3</v>
      </c>
      <c r="AW26" s="114">
        <v>3.362E-3</v>
      </c>
      <c r="AX26" s="49">
        <v>1.2322333249398203E-2</v>
      </c>
      <c r="AY26" s="114">
        <v>0</v>
      </c>
      <c r="AZ26" s="49">
        <v>0</v>
      </c>
      <c r="BA26" s="114">
        <v>1.2799999999999999E-4</v>
      </c>
      <c r="BB26" s="49">
        <v>5.4390709934223663E-4</v>
      </c>
      <c r="BC26" s="114">
        <v>8.1000000000000004E-5</v>
      </c>
      <c r="BD26" s="49">
        <v>3.4260169168737426E-4</v>
      </c>
      <c r="BE26" s="114">
        <v>0</v>
      </c>
      <c r="BF26" s="49">
        <v>0</v>
      </c>
      <c r="BG26" s="114">
        <v>0</v>
      </c>
      <c r="BH26" s="49">
        <v>0</v>
      </c>
      <c r="BI26" s="114">
        <v>1.7160000000000001E-3</v>
      </c>
      <c r="BJ26" s="49">
        <v>6.1740187408165581E-3</v>
      </c>
      <c r="BK26" s="114">
        <v>2.957E-3</v>
      </c>
      <c r="BL26" s="49">
        <v>9.9548260983052458E-3</v>
      </c>
      <c r="BM26" s="114">
        <v>2.7339999999999999E-3</v>
      </c>
      <c r="BN26" s="49">
        <v>9.4144524824621972E-3</v>
      </c>
      <c r="BO26" s="114">
        <v>1.1899E-2</v>
      </c>
      <c r="BP26" s="49">
        <v>3.5758186637424284E-2</v>
      </c>
      <c r="BQ26" s="114">
        <v>3.398E-3</v>
      </c>
      <c r="BR26" s="49">
        <v>1.1427969651705623E-2</v>
      </c>
      <c r="BS26" s="114">
        <v>4.0639999999999999E-3</v>
      </c>
      <c r="BT26" s="49">
        <v>1.3472568637957974E-2</v>
      </c>
      <c r="BU26" s="114">
        <v>2.99E-4</v>
      </c>
      <c r="BV26" s="49">
        <v>1.2173697239015676E-3</v>
      </c>
      <c r="BW26" s="161">
        <f t="shared" si="0"/>
        <v>1.0771968477456519E-2</v>
      </c>
      <c r="BX26" s="166">
        <f t="shared" si="1"/>
        <v>1.076097154902498</v>
      </c>
      <c r="BY26" s="17">
        <f t="shared" si="2"/>
        <v>9.7838958419517157E-3</v>
      </c>
      <c r="CC26" s="148" t="s">
        <v>173</v>
      </c>
      <c r="CD26" s="105">
        <v>6.9998333333333336E-3</v>
      </c>
      <c r="CE26" s="49">
        <v>2.349884761163468E-2</v>
      </c>
      <c r="CF26" s="114">
        <v>4.9950000000000003E-3</v>
      </c>
      <c r="CG26" s="49">
        <v>1.7101226995297203E-2</v>
      </c>
      <c r="CH26" s="114">
        <v>4.3140000000000001E-3</v>
      </c>
      <c r="CI26" s="49">
        <v>1.5248356835009434E-2</v>
      </c>
      <c r="CJ26" s="114">
        <v>7.5760000000000003E-3</v>
      </c>
      <c r="CK26" s="49">
        <v>2.5746949848263055E-2</v>
      </c>
      <c r="CL26" s="114">
        <v>1.0472E-2</v>
      </c>
      <c r="CM26" s="49">
        <v>3.3837707997620793E-2</v>
      </c>
      <c r="CN26" s="114">
        <v>1.413E-3</v>
      </c>
      <c r="CO26" s="49">
        <v>5.2679840040362191E-3</v>
      </c>
      <c r="CP26" s="114">
        <v>5.4990000000000004E-3</v>
      </c>
      <c r="CQ26" s="49">
        <v>1.94096074425603E-2</v>
      </c>
      <c r="CR26" s="114">
        <v>3.199E-3</v>
      </c>
      <c r="CS26" s="49">
        <v>1.1321496801401718E-2</v>
      </c>
      <c r="CT26" s="114">
        <v>7.0860000000000003E-3</v>
      </c>
      <c r="CU26" s="49">
        <v>2.3891747778066592E-2</v>
      </c>
      <c r="CV26" s="114">
        <v>7.4380000000000002E-3</v>
      </c>
      <c r="CW26" s="49">
        <v>2.5573184294324987E-2</v>
      </c>
      <c r="CX26" s="114">
        <v>2.614E-3</v>
      </c>
      <c r="CY26" s="49">
        <v>9.443436371854283E-3</v>
      </c>
      <c r="CZ26" s="114">
        <v>4.4689999999999999E-3</v>
      </c>
      <c r="DA26" s="49">
        <v>1.6020503391857555E-2</v>
      </c>
      <c r="DB26" s="114">
        <v>9.2699999999999998E-4</v>
      </c>
      <c r="DC26" s="49">
        <v>3.4316170754338767E-3</v>
      </c>
      <c r="DD26" s="114">
        <v>5.6099999999999998E-4</v>
      </c>
      <c r="DE26" s="49">
        <v>2.2023494289747556E-3</v>
      </c>
      <c r="DF26" s="114">
        <v>3.362E-3</v>
      </c>
      <c r="DG26" s="49">
        <v>1.2322333249398203E-2</v>
      </c>
      <c r="DH26" s="114">
        <v>0</v>
      </c>
      <c r="DI26" s="49">
        <v>0</v>
      </c>
      <c r="DJ26" s="114">
        <v>1.2799999999999999E-4</v>
      </c>
      <c r="DK26" s="49">
        <v>5.4390709934223663E-4</v>
      </c>
      <c r="DL26" s="114">
        <v>8.1000000000000004E-5</v>
      </c>
      <c r="DM26" s="49">
        <v>3.4260169168737426E-4</v>
      </c>
      <c r="DN26" s="114">
        <v>0</v>
      </c>
      <c r="DO26" s="49">
        <v>0</v>
      </c>
      <c r="DP26" s="114">
        <v>0</v>
      </c>
      <c r="DQ26" s="49">
        <v>0</v>
      </c>
      <c r="DR26" s="114">
        <v>1.7160000000000001E-3</v>
      </c>
      <c r="DS26" s="49">
        <v>6.1740187408165581E-3</v>
      </c>
      <c r="DT26" s="114">
        <v>2.957E-3</v>
      </c>
      <c r="DU26" s="49">
        <v>9.9548260983052458E-3</v>
      </c>
      <c r="DV26" s="114">
        <v>2.7339999999999999E-3</v>
      </c>
      <c r="DW26" s="49">
        <v>9.4144524824621972E-3</v>
      </c>
      <c r="DX26" s="114">
        <v>1.1899E-2</v>
      </c>
      <c r="DY26" s="49">
        <v>3.5758186637424284E-2</v>
      </c>
      <c r="DZ26" s="114">
        <v>3.398E-3</v>
      </c>
      <c r="EA26" s="49">
        <v>1.1427969651705623E-2</v>
      </c>
      <c r="EB26" s="114">
        <v>4.0639999999999999E-3</v>
      </c>
      <c r="EC26" s="49">
        <v>1.3472568637957974E-2</v>
      </c>
      <c r="ED26" s="114">
        <v>2.99E-4</v>
      </c>
      <c r="EE26" s="49">
        <v>1.2173697239015676E-3</v>
      </c>
    </row>
    <row r="27" spans="1:135" x14ac:dyDescent="0.35">
      <c r="A27" s="140">
        <f>12.0107*6+1.00794*14</f>
        <v>86.175359999999998</v>
      </c>
      <c r="B27" s="17">
        <v>601</v>
      </c>
      <c r="C27" s="131" t="s">
        <v>140</v>
      </c>
      <c r="D27" s="99" t="s">
        <v>140</v>
      </c>
      <c r="E27" s="114">
        <v>3.6400000000000001E-4</v>
      </c>
      <c r="F27" s="119">
        <v>1.6413885654041691E-3</v>
      </c>
      <c r="G27" s="114">
        <v>3.8200000000000002E-4</v>
      </c>
      <c r="H27" s="119">
        <v>1.7198579177034364E-3</v>
      </c>
      <c r="I27" s="133">
        <v>4.8299999999999998E-4</v>
      </c>
      <c r="J27" s="119">
        <v>2.158591294932542E-3</v>
      </c>
      <c r="K27" s="114">
        <v>6.3E-5</v>
      </c>
      <c r="L27" s="49">
        <v>2.9987131412631405E-4</v>
      </c>
      <c r="M27" s="114">
        <v>3.3199999999999999E-4</v>
      </c>
      <c r="N27" s="49">
        <v>1.501624472795054E-3</v>
      </c>
      <c r="O27" s="114">
        <v>1.0300000000000001E-3</v>
      </c>
      <c r="P27" s="49">
        <v>4.3879787936612477E-3</v>
      </c>
      <c r="Q27" s="114">
        <v>6.1600000000000001E-4</v>
      </c>
      <c r="R27" s="49">
        <v>2.6721137735008799E-3</v>
      </c>
      <c r="S27" s="145">
        <v>1.6100000000000001E-3</v>
      </c>
      <c r="T27" s="149">
        <f>A27*S27/T40</f>
        <v>5.1622398015259731E-3</v>
      </c>
      <c r="U27" s="152">
        <f>$CC27*CD$27</f>
        <v>1.6430935960591133E-3</v>
      </c>
      <c r="V27" s="153">
        <f>$A27*U27/V$40</f>
        <v>6.588329069954795E-3</v>
      </c>
      <c r="W27" s="152">
        <f>$CC27*CF$27</f>
        <v>2.1034482758620692E-3</v>
      </c>
      <c r="X27" s="153">
        <f>$A27*W27/X$40</f>
        <v>8.601570055688958E-3</v>
      </c>
      <c r="Y27" s="152">
        <f>$CC27*CH$27</f>
        <v>1.894120500189466E-3</v>
      </c>
      <c r="Z27" s="153">
        <f>$A27*Y27/Z$40</f>
        <v>7.9965862322621435E-3</v>
      </c>
      <c r="AA27" s="152">
        <f>$CC27*CJ$27</f>
        <v>2.2537870405456612E-3</v>
      </c>
      <c r="AB27" s="153">
        <f>$A27*AA27/AB$40</f>
        <v>9.1485615224601961E-3</v>
      </c>
      <c r="AC27" s="152">
        <f>$CC27*CL$27</f>
        <v>1.0144630541871922E-3</v>
      </c>
      <c r="AD27" s="153">
        <f>$A27*AC27/AD$40</f>
        <v>3.915269438679406E-3</v>
      </c>
      <c r="AE27" s="152">
        <f>$CC27*CN$27</f>
        <v>8.4100947328533539E-4</v>
      </c>
      <c r="AF27" s="153">
        <f>$A27*AE27/AF$40</f>
        <v>3.7450471351784206E-3</v>
      </c>
      <c r="AG27" s="152">
        <f>$CC27*CP$27</f>
        <v>1.3323380068207655E-3</v>
      </c>
      <c r="AH27" s="153">
        <f>$A27*AG27/AH$40</f>
        <v>5.6169630081721583E-3</v>
      </c>
      <c r="AI27" s="152">
        <f>$CC27*CR$27</f>
        <v>2.7708192497158017E-3</v>
      </c>
      <c r="AJ27" s="153">
        <f>$A27*AI27/AJ$40</f>
        <v>1.1712562431840712E-2</v>
      </c>
      <c r="AK27" s="152">
        <f>$CC27*CT$27</f>
        <v>1.8821007957559683E-3</v>
      </c>
      <c r="AL27" s="153">
        <f>$A27*AK27/AL$40</f>
        <v>7.579556003592695E-3</v>
      </c>
      <c r="AM27" s="152">
        <f>$CC27*CV$27</f>
        <v>2.7639772641151954E-3</v>
      </c>
      <c r="AN27" s="153">
        <f>$A27*AM27/AN$40</f>
        <v>1.1350558079443169E-2</v>
      </c>
      <c r="AO27" s="152">
        <f>$CC27*CX$27</f>
        <v>1.1076619931792346E-3</v>
      </c>
      <c r="AP27" s="153">
        <f>$A27*AO27/AP$40</f>
        <v>4.7795371760173712E-3</v>
      </c>
      <c r="AQ27" s="152">
        <f>$CC27*CZ$27</f>
        <v>1.4619658961727928E-3</v>
      </c>
      <c r="AR27" s="153">
        <f>$A27*AQ27/AR$40</f>
        <v>6.2597524663408725E-3</v>
      </c>
      <c r="AS27" s="152">
        <f>$CC27*DB$27</f>
        <v>5.3164077302008338E-4</v>
      </c>
      <c r="AT27" s="153">
        <f>$A27*AS27/AT$40</f>
        <v>2.3506690076298942E-3</v>
      </c>
      <c r="AU27" s="152">
        <f>$CC27*DD$27</f>
        <v>0</v>
      </c>
      <c r="AV27" s="153"/>
      <c r="AW27" s="152">
        <f>$CC27*DF$27</f>
        <v>9.2755134520651765E-4</v>
      </c>
      <c r="AX27" s="153">
        <f>$A27*AW27/AX$40</f>
        <v>4.0605729285909144E-3</v>
      </c>
      <c r="AY27" s="152">
        <f>$CC27*DH$27</f>
        <v>0</v>
      </c>
      <c r="AZ27" s="154"/>
      <c r="BA27" s="152">
        <f>$CC27*DJ$27</f>
        <v>0</v>
      </c>
      <c r="BB27" s="154"/>
      <c r="BC27" s="152">
        <f>$CC27*DL$27</f>
        <v>0</v>
      </c>
      <c r="BD27" s="154"/>
      <c r="BE27" s="152">
        <f>$CC27*DN$27</f>
        <v>0</v>
      </c>
      <c r="BF27" s="154"/>
      <c r="BG27" s="152">
        <f>$CC27*DP$27</f>
        <v>0</v>
      </c>
      <c r="BH27" s="154"/>
      <c r="BI27" s="152">
        <f>$CC27*DR$27</f>
        <v>1.7419325502084125E-4</v>
      </c>
      <c r="BJ27" s="153">
        <f>$A27*BI27/BJ$40</f>
        <v>7.4857636182124726E-4</v>
      </c>
      <c r="BK27" s="152">
        <f>$CC27*DT$27</f>
        <v>5.1222432739674126E-4</v>
      </c>
      <c r="BL27" s="153">
        <f>$A27*BK27/BL$40</f>
        <v>2.0596653771766723E-3</v>
      </c>
      <c r="BM27" s="152">
        <f>$CC27*DV$27</f>
        <v>7.0084122773777949E-4</v>
      </c>
      <c r="BN27" s="153">
        <f>$A27*BM27/BN$40</f>
        <v>2.8825066232180539E-3</v>
      </c>
      <c r="BO27" s="152">
        <f>$CC27*DX$27</f>
        <v>2.1890655551345208E-3</v>
      </c>
      <c r="BP27" s="153">
        <f>$A27*BO27/BP$40</f>
        <v>7.8573826633428333E-3</v>
      </c>
      <c r="BQ27" s="152">
        <f>$CC27*DZ$27</f>
        <v>3.0086244789693069E-4</v>
      </c>
      <c r="BR27" s="153">
        <f>$A27*BQ27/BR$40</f>
        <v>1.2085588505633021E-3</v>
      </c>
      <c r="BS27" s="152">
        <f>$CC27*EB$27</f>
        <v>3.9609549071618037E-4</v>
      </c>
      <c r="BT27" s="153">
        <f>$A27*BS27/BT$40</f>
        <v>1.5683779158707956E-3</v>
      </c>
      <c r="BU27" s="152">
        <f>$CC27*ED$27</f>
        <v>2.9956801818870789E-5</v>
      </c>
      <c r="BV27" s="153">
        <f>$A27*BU27/BV$40</f>
        <v>1.4568031410506336E-4</v>
      </c>
      <c r="BW27" s="161">
        <f t="shared" si="0"/>
        <v>4.4731016757103203E-3</v>
      </c>
      <c r="BX27" s="166">
        <f t="shared" si="1"/>
        <v>0.44685351585414551</v>
      </c>
      <c r="BY27" s="17">
        <f t="shared" si="2"/>
        <v>3.2606509423362068E-3</v>
      </c>
      <c r="CA27" t="s">
        <v>140</v>
      </c>
      <c r="CB27" s="24">
        <f>AVERAGE(E27,G27,I27,K27,M27,O27,Q27,S27)</f>
        <v>6.1000000000000008E-4</v>
      </c>
      <c r="CC27" s="97">
        <f>CB27/$CB$38</f>
        <v>0.18491852974611597</v>
      </c>
      <c r="CD27" s="405">
        <v>8.8854999999999993E-3</v>
      </c>
      <c r="CE27" s="408">
        <v>3.5628279540185867E-2</v>
      </c>
      <c r="CF27" s="411">
        <v>1.1375E-2</v>
      </c>
      <c r="CG27" s="408">
        <v>4.6515457739678599E-2</v>
      </c>
      <c r="CH27" s="411">
        <v>1.0243E-2</v>
      </c>
      <c r="CI27" s="408">
        <v>4.3243834153565149E-2</v>
      </c>
      <c r="CJ27" s="411">
        <v>1.2187999999999999E-2</v>
      </c>
      <c r="CK27" s="408">
        <v>4.9473471020025528E-2</v>
      </c>
      <c r="CL27" s="411">
        <v>5.4860000000000004E-3</v>
      </c>
      <c r="CM27" s="408">
        <v>2.1172942722694578E-2</v>
      </c>
      <c r="CN27" s="399">
        <v>4.548E-3</v>
      </c>
      <c r="CO27" s="402">
        <v>2.02524167822456E-2</v>
      </c>
      <c r="CP27" s="399">
        <v>7.2049999999999996E-3</v>
      </c>
      <c r="CQ27" s="402">
        <v>3.0375338890504762E-2</v>
      </c>
      <c r="CR27" s="399">
        <v>1.4984000000000001E-2</v>
      </c>
      <c r="CS27" s="402">
        <v>6.3339041511532038E-2</v>
      </c>
      <c r="CT27" s="399">
        <v>1.0178E-2</v>
      </c>
      <c r="CU27" s="402">
        <v>4.0988623552215407E-2</v>
      </c>
      <c r="CV27" s="399">
        <v>1.4947E-2</v>
      </c>
      <c r="CW27" s="402">
        <v>6.1381399122234684E-2</v>
      </c>
      <c r="CX27" s="399">
        <v>5.9899999999999997E-3</v>
      </c>
      <c r="CY27" s="402">
        <v>2.5846718458011966E-2</v>
      </c>
      <c r="CZ27" s="399">
        <v>7.9059999999999998E-3</v>
      </c>
      <c r="DA27" s="402">
        <v>3.3851407292363855E-2</v>
      </c>
      <c r="DB27" s="399">
        <v>2.875E-3</v>
      </c>
      <c r="DC27" s="402">
        <v>1.2711917031014939E-2</v>
      </c>
      <c r="DD27" s="399">
        <v>0</v>
      </c>
      <c r="DE27" s="402">
        <v>0</v>
      </c>
      <c r="DF27" s="399">
        <v>5.0159999999999996E-3</v>
      </c>
      <c r="DG27" s="402">
        <v>2.1958713029818489E-2</v>
      </c>
      <c r="DH27" s="399">
        <v>0</v>
      </c>
      <c r="DI27" s="402">
        <v>0</v>
      </c>
      <c r="DJ27" s="399">
        <v>0</v>
      </c>
      <c r="DK27" s="402">
        <v>0</v>
      </c>
      <c r="DL27" s="399">
        <v>0</v>
      </c>
      <c r="DM27" s="402">
        <v>0</v>
      </c>
      <c r="DN27" s="399">
        <v>0</v>
      </c>
      <c r="DO27" s="402">
        <v>0</v>
      </c>
      <c r="DP27" s="399">
        <v>0</v>
      </c>
      <c r="DQ27" s="402">
        <v>0</v>
      </c>
      <c r="DR27" s="399">
        <v>9.4200000000000002E-4</v>
      </c>
      <c r="DS27" s="402">
        <v>4.048141432062031E-3</v>
      </c>
      <c r="DT27" s="399">
        <v>2.7699999999999999E-3</v>
      </c>
      <c r="DU27" s="402">
        <v>1.1138231414691061E-2</v>
      </c>
      <c r="DV27" s="399">
        <v>3.79E-3</v>
      </c>
      <c r="DW27" s="402">
        <v>1.5587981513673042E-2</v>
      </c>
      <c r="DX27" s="399">
        <v>1.1838E-2</v>
      </c>
      <c r="DY27" s="402">
        <v>4.2491050919183877E-2</v>
      </c>
      <c r="DZ27" s="399">
        <v>1.627E-3</v>
      </c>
      <c r="EA27" s="402">
        <v>6.5356287021240854E-3</v>
      </c>
      <c r="EB27" s="399">
        <v>2.1419999999999998E-3</v>
      </c>
      <c r="EC27" s="402">
        <v>8.4814535245553869E-3</v>
      </c>
      <c r="ED27" s="399">
        <v>1.6200000000000001E-4</v>
      </c>
      <c r="EE27" s="402">
        <v>7.8780809205586508E-4</v>
      </c>
    </row>
    <row r="28" spans="1:135" x14ac:dyDescent="0.35">
      <c r="A28" s="140">
        <f>12.0107*6+1.00794*14</f>
        <v>86.175359999999998</v>
      </c>
      <c r="B28" s="17">
        <v>2127</v>
      </c>
      <c r="C28" s="131" t="s">
        <v>143</v>
      </c>
      <c r="D28" s="99" t="s">
        <v>143</v>
      </c>
      <c r="E28" s="114">
        <v>6.8499999999999995E-4</v>
      </c>
      <c r="F28" s="119">
        <v>3.088876833246856E-3</v>
      </c>
      <c r="G28" s="114">
        <v>7.1900000000000002E-4</v>
      </c>
      <c r="H28" s="119">
        <v>3.2371147718030652E-3</v>
      </c>
      <c r="I28" s="133">
        <v>8.0699999999999999E-4</v>
      </c>
      <c r="J28" s="119">
        <v>3.6065904244525085E-3</v>
      </c>
      <c r="K28" s="114">
        <v>1.5799999999999999E-4</v>
      </c>
      <c r="L28" s="49">
        <v>7.5205821638027958E-4</v>
      </c>
      <c r="M28" s="114">
        <v>6.4300000000000002E-4</v>
      </c>
      <c r="N28" s="49">
        <v>2.9082666747205417E-3</v>
      </c>
      <c r="O28" s="114">
        <v>1.3699999999999999E-3</v>
      </c>
      <c r="P28" s="49">
        <v>5.8364378129280659E-3</v>
      </c>
      <c r="Q28" s="114">
        <v>1.238E-3</v>
      </c>
      <c r="R28" s="49">
        <v>5.3702546292111837E-3</v>
      </c>
      <c r="S28" s="146">
        <v>1.6100000000000001E-3</v>
      </c>
      <c r="T28" s="147">
        <f>A28*S28/T40</f>
        <v>5.1622398015259731E-3</v>
      </c>
      <c r="U28" s="152">
        <f t="shared" ref="U28:BU37" si="3">$CC28*CD$27</f>
        <v>2.434337438423645E-3</v>
      </c>
      <c r="V28" s="153">
        <f t="shared" ref="V28:V32" si="4">$A28*U28/V$40</f>
        <v>9.7609875360190907E-3</v>
      </c>
      <c r="W28" s="152">
        <f t="shared" si="3"/>
        <v>3.1163793103448274E-3</v>
      </c>
      <c r="X28" s="153">
        <f t="shared" ref="X28" si="5">$A28*W28/X$40</f>
        <v>1.2743719570211302E-2</v>
      </c>
      <c r="Y28" s="152">
        <f t="shared" si="3"/>
        <v>2.8062482000757861E-3</v>
      </c>
      <c r="Z28" s="153">
        <f t="shared" ref="Z28" si="6">$A28*Y28/Z$40</f>
        <v>1.1847401323617885E-2</v>
      </c>
      <c r="AA28" s="152">
        <f t="shared" si="3"/>
        <v>3.3391148162182642E-3</v>
      </c>
      <c r="AB28" s="153">
        <f t="shared" ref="AB28" si="7">$A28*AA28/AB$40</f>
        <v>1.3554118812989185E-2</v>
      </c>
      <c r="AC28" s="152">
        <f t="shared" si="3"/>
        <v>1.5029852216748769E-3</v>
      </c>
      <c r="AD28" s="153">
        <f t="shared" ref="AD28" si="8">$A28*AC28/AD$40</f>
        <v>5.8006963200106778E-3</v>
      </c>
      <c r="AE28" s="152">
        <f t="shared" si="3"/>
        <v>1.2460037893141341E-3</v>
      </c>
      <c r="AF28" s="153">
        <f t="shared" ref="AF28" si="9">$A28*AE28/AF$40</f>
        <v>5.5485022105204876E-3</v>
      </c>
      <c r="AG28" s="152">
        <f t="shared" si="3"/>
        <v>1.9739352027283059E-3</v>
      </c>
      <c r="AH28" s="153">
        <f t="shared" ref="AH28" si="10">$A28*AG28/AH$40</f>
        <v>8.3218529813698146E-3</v>
      </c>
      <c r="AI28" s="152">
        <f t="shared" si="3"/>
        <v>4.1051276998863209E-3</v>
      </c>
      <c r="AJ28" s="153">
        <f t="shared" ref="AJ28" si="11">$A28*AI28/AJ$40</f>
        <v>1.7352833275042692E-2</v>
      </c>
      <c r="AK28" s="152">
        <f t="shared" si="3"/>
        <v>2.7884403183023872E-3</v>
      </c>
      <c r="AL28" s="153">
        <f t="shared" ref="AL28" si="12">$A28*AK28/AL$40</f>
        <v>1.1229547111880159E-2</v>
      </c>
      <c r="AM28" s="152">
        <f t="shared" si="3"/>
        <v>4.0949909056460778E-3</v>
      </c>
      <c r="AN28" s="153">
        <f t="shared" ref="AN28" si="13">$A28*AM28/AN$40</f>
        <v>1.6816503056224202E-2</v>
      </c>
      <c r="AO28" s="152">
        <f t="shared" si="3"/>
        <v>1.6410647972716936E-3</v>
      </c>
      <c r="AP28" s="153">
        <f t="shared" ref="AP28" si="14">$A28*AO28/AP$40</f>
        <v>7.0811585620093416E-3</v>
      </c>
      <c r="AQ28" s="152">
        <f t="shared" si="3"/>
        <v>2.1659863584691168E-3</v>
      </c>
      <c r="AR28" s="153">
        <f t="shared" ref="AR28" si="15">$A28*AQ28/AR$40</f>
        <v>9.2741824450091187E-3</v>
      </c>
      <c r="AS28" s="152">
        <f t="shared" si="3"/>
        <v>7.8765630920803328E-4</v>
      </c>
      <c r="AT28" s="153">
        <f t="shared" ref="AT28" si="16">$A28*AS28/AT$40</f>
        <v>3.4826510092549451E-3</v>
      </c>
      <c r="AU28" s="152">
        <f t="shared" si="3"/>
        <v>0</v>
      </c>
      <c r="AV28" s="153"/>
      <c r="AW28" s="152">
        <f t="shared" si="3"/>
        <v>1.3742205380826069E-3</v>
      </c>
      <c r="AX28" s="153">
        <f t="shared" ref="AX28" si="17">$A28*AW28/AX$40</f>
        <v>6.0159717774000629E-3</v>
      </c>
      <c r="AY28" s="152">
        <f t="shared" si="3"/>
        <v>0</v>
      </c>
      <c r="AZ28" s="155"/>
      <c r="BA28" s="152">
        <f t="shared" si="3"/>
        <v>0</v>
      </c>
      <c r="BB28" s="155"/>
      <c r="BC28" s="152">
        <f t="shared" si="3"/>
        <v>0</v>
      </c>
      <c r="BD28" s="155"/>
      <c r="BE28" s="152">
        <f t="shared" si="3"/>
        <v>0</v>
      </c>
      <c r="BF28" s="155"/>
      <c r="BG28" s="152">
        <f t="shared" si="3"/>
        <v>0</v>
      </c>
      <c r="BH28" s="155"/>
      <c r="BI28" s="152">
        <f t="shared" si="3"/>
        <v>2.5807730200833647E-4</v>
      </c>
      <c r="BJ28" s="153">
        <f t="shared" ref="BJ28:BJ32" si="18">$A28*BI28/BJ$40</f>
        <v>1.109058831140905E-3</v>
      </c>
      <c r="BK28" s="152">
        <f t="shared" si="3"/>
        <v>7.5888973095869635E-4</v>
      </c>
      <c r="BL28" s="153">
        <f t="shared" ref="BL28:BL32" si="19">$A28*BK28/BL$40</f>
        <v>3.0515124338088805E-3</v>
      </c>
      <c r="BM28" s="152">
        <f t="shared" si="3"/>
        <v>1.0383364910951118E-3</v>
      </c>
      <c r="BN28" s="153">
        <f t="shared" ref="BN28:BN32" si="20">$A28*BM28/BN$40</f>
        <v>4.2705989520218299E-3</v>
      </c>
      <c r="BO28" s="152">
        <f t="shared" si="3"/>
        <v>3.2432262220538082E-3</v>
      </c>
      <c r="BP28" s="153">
        <f t="shared" ref="BP28:BP32" si="21">$A28*BO28/BP$40</f>
        <v>1.1641163249173908E-2</v>
      </c>
      <c r="BQ28" s="152">
        <f t="shared" si="3"/>
        <v>4.4574497915877222E-4</v>
      </c>
      <c r="BR28" s="153">
        <f t="shared" ref="BR28:BR32" si="22">$A28*BQ28/BR$40</f>
        <v>1.7905492806501375E-3</v>
      </c>
      <c r="BS28" s="152">
        <f t="shared" si="3"/>
        <v>5.8683819628647211E-4</v>
      </c>
      <c r="BT28" s="153">
        <f t="shared" ref="BT28:BT32" si="23">$A28*BS28/BT$40</f>
        <v>2.3236418712593958E-3</v>
      </c>
      <c r="BU28" s="152">
        <f t="shared" si="3"/>
        <v>4.438272072754831E-5</v>
      </c>
      <c r="BV28" s="153">
        <f t="shared" ref="BV28:BV37" si="24">$A28*BU28/BV$40</f>
        <v>2.1583374405319833E-4</v>
      </c>
      <c r="BW28" s="161">
        <f t="shared" si="0"/>
        <v>6.6618732247564032E-3</v>
      </c>
      <c r="BX28" s="166">
        <f t="shared" si="1"/>
        <v>0.6655072226106441</v>
      </c>
      <c r="BY28" s="17">
        <f t="shared" si="2"/>
        <v>4.733805937291175E-3</v>
      </c>
      <c r="CA28" t="s">
        <v>143</v>
      </c>
      <c r="CB28" s="24">
        <f t="shared" ref="CB28:CB37" si="25">AVERAGE(E28,G28,I28,K28,M28,O28,Q28,S28)</f>
        <v>9.0375000000000004E-4</v>
      </c>
      <c r="CC28" s="97">
        <f t="shared" ref="CC28:CC37" si="26">CB28/$CB$38</f>
        <v>0.27396741189844637</v>
      </c>
      <c r="CD28" s="406"/>
      <c r="CE28" s="409"/>
      <c r="CF28" s="412"/>
      <c r="CG28" s="409"/>
      <c r="CH28" s="412"/>
      <c r="CI28" s="409"/>
      <c r="CJ28" s="412"/>
      <c r="CK28" s="409"/>
      <c r="CL28" s="412"/>
      <c r="CM28" s="409"/>
      <c r="CN28" s="400"/>
      <c r="CO28" s="403"/>
      <c r="CP28" s="400"/>
      <c r="CQ28" s="403"/>
      <c r="CR28" s="400"/>
      <c r="CS28" s="403"/>
      <c r="CT28" s="400"/>
      <c r="CU28" s="403"/>
      <c r="CV28" s="400"/>
      <c r="CW28" s="403"/>
      <c r="CX28" s="400"/>
      <c r="CY28" s="403"/>
      <c r="CZ28" s="400"/>
      <c r="DA28" s="403"/>
      <c r="DB28" s="400"/>
      <c r="DC28" s="403"/>
      <c r="DD28" s="400"/>
      <c r="DE28" s="403"/>
      <c r="DF28" s="400"/>
      <c r="DG28" s="403"/>
      <c r="DH28" s="400"/>
      <c r="DI28" s="403"/>
      <c r="DJ28" s="400"/>
      <c r="DK28" s="403"/>
      <c r="DL28" s="400"/>
      <c r="DM28" s="403"/>
      <c r="DN28" s="400"/>
      <c r="DO28" s="403"/>
      <c r="DP28" s="400"/>
      <c r="DQ28" s="403"/>
      <c r="DR28" s="400"/>
      <c r="DS28" s="403"/>
      <c r="DT28" s="400"/>
      <c r="DU28" s="403"/>
      <c r="DV28" s="400"/>
      <c r="DW28" s="403"/>
      <c r="DX28" s="400"/>
      <c r="DY28" s="403"/>
      <c r="DZ28" s="400"/>
      <c r="EA28" s="403"/>
      <c r="EB28" s="400"/>
      <c r="EC28" s="403"/>
      <c r="ED28" s="400"/>
      <c r="EE28" s="403"/>
    </row>
    <row r="29" spans="1:135" x14ac:dyDescent="0.35">
      <c r="A29" s="140">
        <f>12.0107*7+1.00794*16</f>
        <v>100.20194000000001</v>
      </c>
      <c r="B29" s="17">
        <v>600</v>
      </c>
      <c r="C29" s="131" t="s">
        <v>148</v>
      </c>
      <c r="D29" s="99" t="s">
        <v>199</v>
      </c>
      <c r="E29" s="114">
        <v>4.3800000000000002E-4</v>
      </c>
      <c r="F29" s="119">
        <v>2.2965566038615024E-3</v>
      </c>
      <c r="G29" s="114">
        <v>4.66E-4</v>
      </c>
      <c r="H29" s="119">
        <v>2.439541146108191E-3</v>
      </c>
      <c r="I29" s="114">
        <v>7.0799999999999997E-4</v>
      </c>
      <c r="J29" s="49">
        <v>3.6791675983914927E-3</v>
      </c>
      <c r="K29" s="114">
        <v>5.5999999999999999E-5</v>
      </c>
      <c r="L29" s="49">
        <v>3.0993842659439311E-4</v>
      </c>
      <c r="M29" s="114">
        <v>3.8999999999999999E-4</v>
      </c>
      <c r="N29" s="49">
        <v>2.0510718988346038E-3</v>
      </c>
      <c r="O29" s="114">
        <v>1.6299999999999999E-3</v>
      </c>
      <c r="P29" s="49">
        <v>8.0743565520449614E-3</v>
      </c>
      <c r="Q29" s="114">
        <v>8.0199999999999998E-4</v>
      </c>
      <c r="R29" s="49">
        <v>4.0452151523723964E-3</v>
      </c>
      <c r="S29" s="114">
        <v>2E-3</v>
      </c>
      <c r="T29" s="49">
        <v>7.4565050817500108E-3</v>
      </c>
      <c r="U29" s="152">
        <f t="shared" si="3"/>
        <v>2.1851798029556648E-3</v>
      </c>
      <c r="V29" s="153">
        <f t="shared" si="4"/>
        <v>1.0188099583139779E-2</v>
      </c>
      <c r="W29" s="152">
        <f t="shared" si="3"/>
        <v>2.7974137931034483E-3</v>
      </c>
      <c r="X29" s="153">
        <f t="shared" ref="X29" si="27">$A29*W29/X$40</f>
        <v>1.3301347180479187E-2</v>
      </c>
      <c r="Y29" s="152">
        <f t="shared" si="3"/>
        <v>2.5190250094732857E-3</v>
      </c>
      <c r="Z29" s="153">
        <f t="shared" ref="Z29" si="28">$A29*Y29/Z$40</f>
        <v>1.236580868903232E-2</v>
      </c>
      <c r="AA29" s="152">
        <f t="shared" si="3"/>
        <v>2.9973520272830617E-3</v>
      </c>
      <c r="AB29" s="153">
        <f t="shared" ref="AB29" si="29">$A29*AA29/AB$40</f>
        <v>1.414720710572292E-2</v>
      </c>
      <c r="AC29" s="152">
        <f t="shared" si="3"/>
        <v>1.3491527093596062E-3</v>
      </c>
      <c r="AD29" s="153">
        <f t="shared" ref="AD29" si="30">$A29*AC29/AD$40</f>
        <v>6.0545176952375998E-3</v>
      </c>
      <c r="AE29" s="152">
        <f t="shared" si="3"/>
        <v>1.1184736642667677E-3</v>
      </c>
      <c r="AF29" s="153">
        <f t="shared" ref="AF29" si="31">$A29*AE29/AF$40</f>
        <v>5.7912883147793184E-3</v>
      </c>
      <c r="AG29" s="152">
        <f t="shared" si="3"/>
        <v>1.7719003410382721E-3</v>
      </c>
      <c r="AH29" s="153">
        <f t="shared" ref="AH29" si="32">$A29*AG29/AH$40</f>
        <v>8.6859927417776931E-3</v>
      </c>
      <c r="AI29" s="152">
        <f t="shared" si="3"/>
        <v>3.6849624857900722E-3</v>
      </c>
      <c r="AJ29" s="153">
        <f t="shared" ref="AJ29" si="33">$A29*AI29/AJ$40</f>
        <v>1.8112142117114038E-2</v>
      </c>
      <c r="AK29" s="152">
        <f t="shared" si="3"/>
        <v>2.5030397877984084E-3</v>
      </c>
      <c r="AL29" s="153">
        <f t="shared" ref="AL29" si="34">$A29*AK29/AL$40</f>
        <v>1.1720918997920847E-2</v>
      </c>
      <c r="AM29" s="152">
        <f t="shared" si="3"/>
        <v>3.6758632057597579E-3</v>
      </c>
      <c r="AN29" s="153">
        <f t="shared" ref="AN29" si="35">$A29*AM29/AN$40</f>
        <v>1.7552343668585497E-2</v>
      </c>
      <c r="AO29" s="152">
        <f t="shared" si="3"/>
        <v>1.4730996589617279E-3</v>
      </c>
      <c r="AP29" s="153">
        <f t="shared" ref="AP29" si="36">$A29*AO29/AP$40</f>
        <v>7.3910091911844611E-3</v>
      </c>
      <c r="AQ29" s="152">
        <f t="shared" si="3"/>
        <v>1.9442948086396362E-3</v>
      </c>
      <c r="AR29" s="153">
        <f t="shared" ref="AR29" si="37">$A29*AQ29/AR$40</f>
        <v>9.6799933360528449E-3</v>
      </c>
      <c r="AS29" s="152">
        <f t="shared" si="3"/>
        <v>7.0703865100416822E-4</v>
      </c>
      <c r="AT29" s="153">
        <f t="shared" ref="AT29" si="38">$A29*AS29/AT$40</f>
        <v>3.6350415533961855E-3</v>
      </c>
      <c r="AU29" s="152">
        <f t="shared" si="3"/>
        <v>0</v>
      </c>
      <c r="AV29" s="153"/>
      <c r="AW29" s="152">
        <f t="shared" si="3"/>
        <v>1.2335672603258809E-3</v>
      </c>
      <c r="AX29" s="153">
        <f t="shared" ref="AX29" si="39">$A29*AW29/AX$40</f>
        <v>6.2792129721853168E-3</v>
      </c>
      <c r="AY29" s="152">
        <f t="shared" si="3"/>
        <v>0</v>
      </c>
      <c r="AZ29" s="155"/>
      <c r="BA29" s="152">
        <f t="shared" si="3"/>
        <v>0</v>
      </c>
      <c r="BB29" s="155"/>
      <c r="BC29" s="152">
        <f t="shared" si="3"/>
        <v>0</v>
      </c>
      <c r="BD29" s="155"/>
      <c r="BE29" s="152">
        <f t="shared" si="3"/>
        <v>0</v>
      </c>
      <c r="BF29" s="155"/>
      <c r="BG29" s="152">
        <f t="shared" si="3"/>
        <v>0</v>
      </c>
      <c r="BH29" s="155"/>
      <c r="BI29" s="152">
        <f t="shared" si="3"/>
        <v>2.3166275104206141E-4</v>
      </c>
      <c r="BJ29" s="153">
        <f t="shared" si="18"/>
        <v>1.1575879769878691E-3</v>
      </c>
      <c r="BK29" s="152">
        <f t="shared" si="3"/>
        <v>6.8121636983705953E-4</v>
      </c>
      <c r="BL29" s="153">
        <f t="shared" si="19"/>
        <v>3.1850376245346032E-3</v>
      </c>
      <c r="BM29" s="152">
        <f t="shared" si="3"/>
        <v>9.3206138688897309E-4</v>
      </c>
      <c r="BN29" s="153">
        <f t="shared" si="20"/>
        <v>4.4574677759086209E-3</v>
      </c>
      <c r="BO29" s="152">
        <f t="shared" si="3"/>
        <v>2.9112777567260328E-3</v>
      </c>
      <c r="BP29" s="153">
        <f t="shared" si="21"/>
        <v>1.2150546244272847E-2</v>
      </c>
      <c r="BQ29" s="152">
        <f t="shared" si="3"/>
        <v>4.0012239484653279E-4</v>
      </c>
      <c r="BR29" s="153">
        <f t="shared" si="22"/>
        <v>1.868898440087837E-3</v>
      </c>
      <c r="BS29" s="152">
        <f t="shared" si="3"/>
        <v>5.267745358090185E-4</v>
      </c>
      <c r="BT29" s="153">
        <f t="shared" si="23"/>
        <v>2.4253175913386067E-3</v>
      </c>
      <c r="BU29" s="152">
        <f t="shared" si="3"/>
        <v>3.9840090943539224E-5</v>
      </c>
      <c r="BV29" s="153">
        <f t="shared" si="24"/>
        <v>2.2527799259056315E-4</v>
      </c>
      <c r="BW29" s="161">
        <f t="shared" si="0"/>
        <v>6.9216348018029819E-3</v>
      </c>
      <c r="BX29" s="166">
        <f t="shared" si="1"/>
        <v>0.69145686167594622</v>
      </c>
      <c r="BY29" s="17">
        <f t="shared" si="2"/>
        <v>5.0680536090025215E-3</v>
      </c>
      <c r="CA29" t="s">
        <v>199</v>
      </c>
      <c r="CB29" s="24">
        <f t="shared" si="25"/>
        <v>8.1125000000000001E-4</v>
      </c>
      <c r="CC29" s="97">
        <f t="shared" si="26"/>
        <v>0.24592648730579766</v>
      </c>
      <c r="CD29" s="406"/>
      <c r="CE29" s="409"/>
      <c r="CF29" s="412"/>
      <c r="CG29" s="409"/>
      <c r="CH29" s="412"/>
      <c r="CI29" s="409"/>
      <c r="CJ29" s="412"/>
      <c r="CK29" s="409"/>
      <c r="CL29" s="412"/>
      <c r="CM29" s="409"/>
      <c r="CN29" s="400"/>
      <c r="CO29" s="403"/>
      <c r="CP29" s="400"/>
      <c r="CQ29" s="403"/>
      <c r="CR29" s="400"/>
      <c r="CS29" s="403"/>
      <c r="CT29" s="400"/>
      <c r="CU29" s="403"/>
      <c r="CV29" s="400"/>
      <c r="CW29" s="403"/>
      <c r="CX29" s="400"/>
      <c r="CY29" s="403"/>
      <c r="CZ29" s="400"/>
      <c r="DA29" s="403"/>
      <c r="DB29" s="400"/>
      <c r="DC29" s="403"/>
      <c r="DD29" s="400"/>
      <c r="DE29" s="403"/>
      <c r="DF29" s="400"/>
      <c r="DG29" s="403"/>
      <c r="DH29" s="400"/>
      <c r="DI29" s="403"/>
      <c r="DJ29" s="400"/>
      <c r="DK29" s="403"/>
      <c r="DL29" s="400"/>
      <c r="DM29" s="403"/>
      <c r="DN29" s="400"/>
      <c r="DO29" s="403"/>
      <c r="DP29" s="400"/>
      <c r="DQ29" s="403"/>
      <c r="DR29" s="400"/>
      <c r="DS29" s="403"/>
      <c r="DT29" s="400"/>
      <c r="DU29" s="403"/>
      <c r="DV29" s="400"/>
      <c r="DW29" s="403"/>
      <c r="DX29" s="400"/>
      <c r="DY29" s="403"/>
      <c r="DZ29" s="400"/>
      <c r="EA29" s="403"/>
      <c r="EB29" s="400"/>
      <c r="EC29" s="403"/>
      <c r="ED29" s="400"/>
      <c r="EE29" s="403"/>
    </row>
    <row r="30" spans="1:135" ht="15" customHeight="1" x14ac:dyDescent="0.35">
      <c r="A30" s="140">
        <v>114.22852</v>
      </c>
      <c r="B30" s="17">
        <v>604</v>
      </c>
      <c r="C30" s="131" t="s">
        <v>151</v>
      </c>
      <c r="D30" s="99" t="s">
        <v>200</v>
      </c>
      <c r="E30" s="114">
        <v>2.6899999999999998E-4</v>
      </c>
      <c r="F30" s="119">
        <v>1.6078804085400398E-3</v>
      </c>
      <c r="G30" s="114">
        <v>2.9E-4</v>
      </c>
      <c r="H30" s="119">
        <v>1.7306874667622875E-3</v>
      </c>
      <c r="I30" s="114">
        <v>6.4999999999999997E-4</v>
      </c>
      <c r="J30" s="49">
        <v>3.8505972005885478E-3</v>
      </c>
      <c r="K30" s="114">
        <v>2.5000000000000001E-5</v>
      </c>
      <c r="L30" s="49">
        <v>1.5773418480598031E-4</v>
      </c>
      <c r="M30" s="114">
        <v>2.24E-4</v>
      </c>
      <c r="N30" s="49">
        <v>1.3429588816936029E-3</v>
      </c>
      <c r="O30" s="114">
        <v>8.4000000000000003E-4</v>
      </c>
      <c r="P30" s="49">
        <v>4.7434903885744352E-3</v>
      </c>
      <c r="Q30" s="114">
        <v>4.95E-4</v>
      </c>
      <c r="R30" s="49">
        <v>2.8462357935936703E-3</v>
      </c>
      <c r="S30" s="114">
        <v>9.7000000000000005E-4</v>
      </c>
      <c r="T30" s="49">
        <v>4.1226406078812413E-3</v>
      </c>
      <c r="U30" s="152">
        <f t="shared" si="3"/>
        <v>1.2670002463054187E-3</v>
      </c>
      <c r="V30" s="153">
        <f t="shared" si="4"/>
        <v>6.7341242123559507E-3</v>
      </c>
      <c r="W30" s="152">
        <f t="shared" si="3"/>
        <v>1.6219827586206898E-3</v>
      </c>
      <c r="X30" s="153">
        <f t="shared" ref="X30" si="40">$A30*W30/X$40</f>
        <v>8.79191682158772E-3</v>
      </c>
      <c r="Y30" s="152">
        <f t="shared" si="3"/>
        <v>1.4605687381583935E-3</v>
      </c>
      <c r="Z30" s="153">
        <f t="shared" ref="Z30" si="41">$A30*Y30/Z$40</f>
        <v>8.1735451267066443E-3</v>
      </c>
      <c r="AA30" s="152">
        <f t="shared" si="3"/>
        <v>1.7379099658961729E-3</v>
      </c>
      <c r="AB30" s="153">
        <f t="shared" ref="AB30" si="42">$A30*AA30/AB$40</f>
        <v>9.3510128292741673E-3</v>
      </c>
      <c r="AC30" s="152">
        <f t="shared" si="3"/>
        <v>7.8225911330049279E-4</v>
      </c>
      <c r="AD30" s="153">
        <f t="shared" ref="AD30" si="43">$A30*AC30/AD$40</f>
        <v>4.0019116296340666E-3</v>
      </c>
      <c r="AE30" s="152">
        <f t="shared" si="3"/>
        <v>6.4850791966654039E-4</v>
      </c>
      <c r="AF30" s="153">
        <f t="shared" ref="AF30" si="44">$A30*AE30/AF$40</f>
        <v>3.8279224248876711E-3</v>
      </c>
      <c r="AG30" s="152">
        <f t="shared" si="3"/>
        <v>1.0273745737021599E-3</v>
      </c>
      <c r="AH30" s="153">
        <f t="shared" ref="AH30" si="45">$A30*AG30/AH$40</f>
        <v>5.7412624948770781E-3</v>
      </c>
      <c r="AI30" s="152">
        <f t="shared" si="3"/>
        <v>2.1365968927624102E-3</v>
      </c>
      <c r="AJ30" s="153">
        <f t="shared" ref="AJ30" si="46">$A30*AI30/AJ$40</f>
        <v>1.1971753296398477E-2</v>
      </c>
      <c r="AK30" s="152">
        <f t="shared" si="3"/>
        <v>1.4513002652519894E-3</v>
      </c>
      <c r="AL30" s="153">
        <f t="shared" ref="AL30" si="47">$A30*AK30/AL$40</f>
        <v>7.747286308977838E-3</v>
      </c>
      <c r="AM30" s="152">
        <f t="shared" si="3"/>
        <v>2.1313209928003033E-3</v>
      </c>
      <c r="AN30" s="153">
        <f t="shared" ref="AN30" si="48">$A30*AM30/AN$40</f>
        <v>1.1601738039331899E-2</v>
      </c>
      <c r="AO30" s="152">
        <f t="shared" si="3"/>
        <v>8.5412542629784009E-4</v>
      </c>
      <c r="AP30" s="153">
        <f t="shared" ref="AP30" si="49">$A30*AO30/AP$40</f>
        <v>4.8853050111983551E-3</v>
      </c>
      <c r="AQ30" s="152">
        <f t="shared" si="3"/>
        <v>1.1273314892004547E-3</v>
      </c>
      <c r="AR30" s="153">
        <f t="shared" ref="AR30" si="50">$A30*AQ30/AR$40</f>
        <v>6.3982764369160732E-3</v>
      </c>
      <c r="AS30" s="152">
        <f t="shared" si="3"/>
        <v>4.0995168624478971E-4</v>
      </c>
      <c r="AT30" s="153">
        <f t="shared" ref="AT30" si="51">$A30*AS30/AT$40</f>
        <v>2.4026876786869145E-3</v>
      </c>
      <c r="AU30" s="152">
        <f t="shared" si="3"/>
        <v>0</v>
      </c>
      <c r="AV30" s="153"/>
      <c r="AW30" s="152">
        <f t="shared" si="3"/>
        <v>7.1524092459264877E-4</v>
      </c>
      <c r="AX30" s="153">
        <f t="shared" ref="AX30" si="52">$A30*AW30/AX$40</f>
        <v>4.1504305847687127E-3</v>
      </c>
      <c r="AY30" s="152">
        <f t="shared" si="3"/>
        <v>0</v>
      </c>
      <c r="AZ30" s="155"/>
      <c r="BA30" s="152">
        <f t="shared" si="3"/>
        <v>0</v>
      </c>
      <c r="BB30" s="155"/>
      <c r="BC30" s="152">
        <f t="shared" si="3"/>
        <v>0</v>
      </c>
      <c r="BD30" s="155"/>
      <c r="BE30" s="152">
        <f t="shared" si="3"/>
        <v>0</v>
      </c>
      <c r="BF30" s="155"/>
      <c r="BG30" s="152">
        <f t="shared" si="3"/>
        <v>0</v>
      </c>
      <c r="BH30" s="155"/>
      <c r="BI30" s="152">
        <f t="shared" si="3"/>
        <v>1.3432156119742329E-4</v>
      </c>
      <c r="BJ30" s="153">
        <f t="shared" si="18"/>
        <v>7.651418363309497E-4</v>
      </c>
      <c r="BK30" s="152">
        <f t="shared" si="3"/>
        <v>3.9497953770367564E-4</v>
      </c>
      <c r="BL30" s="153">
        <f t="shared" si="19"/>
        <v>2.1052443401847029E-3</v>
      </c>
      <c r="BM30" s="152">
        <f t="shared" si="3"/>
        <v>5.404232663887837E-4</v>
      </c>
      <c r="BN30" s="153">
        <f t="shared" si="20"/>
        <v>2.9462944909978942E-3</v>
      </c>
      <c r="BO30" s="152">
        <f t="shared" si="3"/>
        <v>1.6880028040924594E-3</v>
      </c>
      <c r="BP30" s="153">
        <f t="shared" si="21"/>
        <v>8.0312610795753563E-3</v>
      </c>
      <c r="BQ30" s="152">
        <f t="shared" si="3"/>
        <v>2.3199700644183405E-4</v>
      </c>
      <c r="BR30" s="153">
        <f t="shared" si="22"/>
        <v>1.2353034177892469E-3</v>
      </c>
      <c r="BS30" s="152">
        <f t="shared" si="3"/>
        <v>3.0543183023872678E-4</v>
      </c>
      <c r="BT30" s="153">
        <f t="shared" si="23"/>
        <v>1.6030850288815878E-3</v>
      </c>
      <c r="BU30" s="152">
        <f t="shared" si="3"/>
        <v>2.3099886320575981E-5</v>
      </c>
      <c r="BV30" s="153">
        <f t="shared" si="24"/>
        <v>1.4890411818565381E-4</v>
      </c>
      <c r="BW30" s="161">
        <f t="shared" si="0"/>
        <v>4.5867804186202335E-3</v>
      </c>
      <c r="BX30" s="166">
        <f t="shared" si="1"/>
        <v>0.45820978486609631</v>
      </c>
      <c r="BY30" s="17">
        <f t="shared" si="2"/>
        <v>3.318266094356113E-3</v>
      </c>
      <c r="CA30" t="s">
        <v>200</v>
      </c>
      <c r="CB30" s="24">
        <f t="shared" si="25"/>
        <v>4.7037500000000004E-4</v>
      </c>
      <c r="CC30" s="97">
        <f t="shared" si="26"/>
        <v>0.14259189086775295</v>
      </c>
      <c r="CD30" s="406"/>
      <c r="CE30" s="409"/>
      <c r="CF30" s="412"/>
      <c r="CG30" s="409"/>
      <c r="CH30" s="412"/>
      <c r="CI30" s="409"/>
      <c r="CJ30" s="412"/>
      <c r="CK30" s="409"/>
      <c r="CL30" s="412"/>
      <c r="CM30" s="409"/>
      <c r="CN30" s="400"/>
      <c r="CO30" s="403"/>
      <c r="CP30" s="400"/>
      <c r="CQ30" s="403"/>
      <c r="CR30" s="400"/>
      <c r="CS30" s="403"/>
      <c r="CT30" s="400"/>
      <c r="CU30" s="403"/>
      <c r="CV30" s="400"/>
      <c r="CW30" s="403"/>
      <c r="CX30" s="400"/>
      <c r="CY30" s="403"/>
      <c r="CZ30" s="400"/>
      <c r="DA30" s="403"/>
      <c r="DB30" s="400"/>
      <c r="DC30" s="403"/>
      <c r="DD30" s="400"/>
      <c r="DE30" s="403"/>
      <c r="DF30" s="400"/>
      <c r="DG30" s="403"/>
      <c r="DH30" s="400"/>
      <c r="DI30" s="403"/>
      <c r="DJ30" s="400"/>
      <c r="DK30" s="403"/>
      <c r="DL30" s="400"/>
      <c r="DM30" s="403"/>
      <c r="DN30" s="400"/>
      <c r="DO30" s="403"/>
      <c r="DP30" s="400"/>
      <c r="DQ30" s="403"/>
      <c r="DR30" s="400"/>
      <c r="DS30" s="403"/>
      <c r="DT30" s="400"/>
      <c r="DU30" s="403"/>
      <c r="DV30" s="400"/>
      <c r="DW30" s="403"/>
      <c r="DX30" s="400"/>
      <c r="DY30" s="403"/>
      <c r="DZ30" s="400"/>
      <c r="EA30" s="403"/>
      <c r="EB30" s="400"/>
      <c r="EC30" s="403"/>
      <c r="ED30" s="400"/>
      <c r="EE30" s="403"/>
    </row>
    <row r="31" spans="1:135" x14ac:dyDescent="0.35">
      <c r="A31" s="140">
        <v>128.2551</v>
      </c>
      <c r="B31" s="17">
        <v>603</v>
      </c>
      <c r="C31" s="131" t="s">
        <v>159</v>
      </c>
      <c r="D31" s="99" t="s">
        <v>201</v>
      </c>
      <c r="E31" s="114">
        <v>8.0000000000000007E-5</v>
      </c>
      <c r="F31" s="119">
        <v>5.3689770089954743E-4</v>
      </c>
      <c r="G31" s="114">
        <v>9.7E-5</v>
      </c>
      <c r="H31" s="119">
        <v>6.4996875318302811E-4</v>
      </c>
      <c r="I31" s="114">
        <v>4.08E-4</v>
      </c>
      <c r="J31" s="49">
        <v>2.713782208622765E-3</v>
      </c>
      <c r="K31" s="114">
        <v>3.9999999999999998E-6</v>
      </c>
      <c r="L31" s="49">
        <v>2.8336480095457053E-5</v>
      </c>
      <c r="M31" s="114">
        <v>5.8E-5</v>
      </c>
      <c r="N31" s="49">
        <v>3.9042964398076257E-4</v>
      </c>
      <c r="O31" s="114">
        <v>8.0000000000000007E-5</v>
      </c>
      <c r="P31" s="49">
        <v>5.0723454063890698E-4</v>
      </c>
      <c r="Q31" s="114">
        <v>1.18E-4</v>
      </c>
      <c r="R31" s="49">
        <v>7.6181194507415656E-4</v>
      </c>
      <c r="S31" s="114">
        <v>3.6999999999999999E-4</v>
      </c>
      <c r="T31" s="49">
        <v>1.7656538277444113E-3</v>
      </c>
      <c r="U31" s="152">
        <f t="shared" si="3"/>
        <v>4.0908990147783245E-4</v>
      </c>
      <c r="V31" s="153">
        <f t="shared" si="4"/>
        <v>2.441311945285339E-3</v>
      </c>
      <c r="W31" s="152">
        <f t="shared" si="3"/>
        <v>5.2370689655172411E-4</v>
      </c>
      <c r="X31" s="153">
        <f t="shared" ref="X31" si="53">$A31*W31/X$40</f>
        <v>3.1873204119274834E-3</v>
      </c>
      <c r="Y31" s="152">
        <f t="shared" si="3"/>
        <v>4.7158942781356573E-4</v>
      </c>
      <c r="Z31" s="153">
        <f t="shared" ref="Z31" si="54">$A31*Y31/Z$40</f>
        <v>2.9631430493285604E-3</v>
      </c>
      <c r="AA31" s="152">
        <f t="shared" si="3"/>
        <v>5.6113755210306928E-4</v>
      </c>
      <c r="AB31" s="153">
        <f t="shared" ref="AB31" si="55">$A31*AA31/AB$40</f>
        <v>3.3900086485985363E-3</v>
      </c>
      <c r="AC31" s="152">
        <f t="shared" si="3"/>
        <v>2.5257635467980296E-4</v>
      </c>
      <c r="AD31" s="153">
        <f t="shared" ref="AD31" si="56">$A31*AC31/AD$40</f>
        <v>1.4508070177077909E-3</v>
      </c>
      <c r="AE31" s="152">
        <f t="shared" si="3"/>
        <v>2.0939067828722998E-4</v>
      </c>
      <c r="AF31" s="153">
        <f t="shared" ref="AF31" si="57">$A31*AE31/AF$40</f>
        <v>1.3877309724042745E-3</v>
      </c>
      <c r="AG31" s="152">
        <f t="shared" si="3"/>
        <v>3.3171940128836675E-4</v>
      </c>
      <c r="AH31" s="153">
        <f t="shared" ref="AH31" si="58">$A31*AG31/AH$40</f>
        <v>2.0813712767645117E-3</v>
      </c>
      <c r="AI31" s="152">
        <f t="shared" si="3"/>
        <v>6.8986585827965135E-4</v>
      </c>
      <c r="AJ31" s="153">
        <f t="shared" ref="AJ31" si="59">$A31*AI31/AJ$40</f>
        <v>4.3401017573867521E-3</v>
      </c>
      <c r="AK31" s="152">
        <f t="shared" si="3"/>
        <v>4.6859681697612726E-4</v>
      </c>
      <c r="AL31" s="153">
        <f t="shared" ref="AL31" si="60">$A31*AK31/AL$40</f>
        <v>2.8086120797935518E-3</v>
      </c>
      <c r="AM31" s="152">
        <f t="shared" si="3"/>
        <v>6.8816237211064793E-4</v>
      </c>
      <c r="AN31" s="153">
        <f t="shared" ref="AN31" si="61">$A31*AM31/AN$40</f>
        <v>4.2059606814979196E-3</v>
      </c>
      <c r="AO31" s="152">
        <f t="shared" si="3"/>
        <v>2.7578059871163316E-4</v>
      </c>
      <c r="AP31" s="153">
        <f t="shared" ref="AP31" si="62">$A31*AO31/AP$40</f>
        <v>1.7710622946808311E-3</v>
      </c>
      <c r="AQ31" s="152">
        <f t="shared" si="3"/>
        <v>3.6399355816597189E-4</v>
      </c>
      <c r="AR31" s="153">
        <f t="shared" ref="AR31" si="63">$A31*AQ31/AR$40</f>
        <v>2.3195575552379306E-3</v>
      </c>
      <c r="AS31" s="152">
        <f t="shared" si="3"/>
        <v>1.3236547934823795E-4</v>
      </c>
      <c r="AT31" s="153">
        <f t="shared" ref="AT31" si="64">$A31*AS31/AT$40</f>
        <v>8.7104275861227883E-4</v>
      </c>
      <c r="AU31" s="152">
        <f t="shared" si="3"/>
        <v>0</v>
      </c>
      <c r="AV31" s="153"/>
      <c r="AW31" s="152">
        <f t="shared" si="3"/>
        <v>2.3093747631678662E-4</v>
      </c>
      <c r="AX31" s="153">
        <f t="shared" ref="AX31" si="65">$A31*AW31/AX$40</f>
        <v>1.5046493716409479E-3</v>
      </c>
      <c r="AY31" s="152">
        <f t="shared" si="3"/>
        <v>0</v>
      </c>
      <c r="AZ31" s="155"/>
      <c r="BA31" s="152">
        <f t="shared" si="3"/>
        <v>0</v>
      </c>
      <c r="BB31" s="155"/>
      <c r="BC31" s="152">
        <f t="shared" si="3"/>
        <v>0</v>
      </c>
      <c r="BD31" s="155"/>
      <c r="BE31" s="152">
        <f t="shared" si="3"/>
        <v>0</v>
      </c>
      <c r="BF31" s="155"/>
      <c r="BG31" s="152">
        <f t="shared" si="3"/>
        <v>0</v>
      </c>
      <c r="BH31" s="155"/>
      <c r="BI31" s="152">
        <f t="shared" si="3"/>
        <v>4.3369837059492227E-5</v>
      </c>
      <c r="BJ31" s="153">
        <f t="shared" si="18"/>
        <v>2.7738572173125983E-4</v>
      </c>
      <c r="BK31" s="152">
        <f t="shared" si="3"/>
        <v>1.2753126184160665E-4</v>
      </c>
      <c r="BL31" s="153">
        <f t="shared" si="19"/>
        <v>7.6321107145708262E-4</v>
      </c>
      <c r="BM31" s="152">
        <f t="shared" si="3"/>
        <v>1.7449223190602498E-4</v>
      </c>
      <c r="BN31" s="153">
        <f t="shared" si="20"/>
        <v>1.0681157205273939E-3</v>
      </c>
      <c r="BO31" s="152">
        <f t="shared" si="3"/>
        <v>5.450234937476316E-4</v>
      </c>
      <c r="BP31" s="153">
        <f t="shared" si="21"/>
        <v>2.9115610272375794E-3</v>
      </c>
      <c r="BQ31" s="152">
        <f t="shared" si="3"/>
        <v>7.4907351269420228E-5</v>
      </c>
      <c r="BR31" s="153">
        <f t="shared" si="22"/>
        <v>4.4783269431937348E-4</v>
      </c>
      <c r="BS31" s="152">
        <f t="shared" si="3"/>
        <v>9.8618037135278492E-5</v>
      </c>
      <c r="BT31" s="153">
        <f t="shared" si="23"/>
        <v>5.8116400988503887E-4</v>
      </c>
      <c r="BU31" s="152">
        <f t="shared" si="3"/>
        <v>7.4585070102311481E-6</v>
      </c>
      <c r="BV31" s="153">
        <f t="shared" si="24"/>
        <v>5.3981986516051741E-5</v>
      </c>
      <c r="BW31" s="161">
        <f t="shared" si="0"/>
        <v>1.6613809363027429E-3</v>
      </c>
      <c r="BX31" s="166">
        <f t="shared" si="1"/>
        <v>0.16596848593700747</v>
      </c>
      <c r="BY31" s="17">
        <f t="shared" si="2"/>
        <v>1.2487961207150581E-3</v>
      </c>
      <c r="CA31" t="s">
        <v>201</v>
      </c>
      <c r="CB31" s="24">
        <f t="shared" si="25"/>
        <v>1.5187499999999999E-4</v>
      </c>
      <c r="CC31" s="97">
        <f t="shared" si="26"/>
        <v>4.6040166729821898E-2</v>
      </c>
      <c r="CD31" s="406"/>
      <c r="CE31" s="409"/>
      <c r="CF31" s="412"/>
      <c r="CG31" s="409"/>
      <c r="CH31" s="412"/>
      <c r="CI31" s="409"/>
      <c r="CJ31" s="412"/>
      <c r="CK31" s="409"/>
      <c r="CL31" s="412"/>
      <c r="CM31" s="409"/>
      <c r="CN31" s="400"/>
      <c r="CO31" s="403"/>
      <c r="CP31" s="400"/>
      <c r="CQ31" s="403"/>
      <c r="CR31" s="400"/>
      <c r="CS31" s="403"/>
      <c r="CT31" s="400"/>
      <c r="CU31" s="403"/>
      <c r="CV31" s="400"/>
      <c r="CW31" s="403"/>
      <c r="CX31" s="400"/>
      <c r="CY31" s="403"/>
      <c r="CZ31" s="400"/>
      <c r="DA31" s="403"/>
      <c r="DB31" s="400"/>
      <c r="DC31" s="403"/>
      <c r="DD31" s="400"/>
      <c r="DE31" s="403"/>
      <c r="DF31" s="400"/>
      <c r="DG31" s="403"/>
      <c r="DH31" s="400"/>
      <c r="DI31" s="403"/>
      <c r="DJ31" s="400"/>
      <c r="DK31" s="403"/>
      <c r="DL31" s="400"/>
      <c r="DM31" s="403"/>
      <c r="DN31" s="400"/>
      <c r="DO31" s="403"/>
      <c r="DP31" s="400"/>
      <c r="DQ31" s="403"/>
      <c r="DR31" s="400"/>
      <c r="DS31" s="403"/>
      <c r="DT31" s="400"/>
      <c r="DU31" s="403"/>
      <c r="DV31" s="400"/>
      <c r="DW31" s="403"/>
      <c r="DX31" s="400"/>
      <c r="DY31" s="403"/>
      <c r="DZ31" s="400"/>
      <c r="EA31" s="403"/>
      <c r="EB31" s="400"/>
      <c r="EC31" s="403"/>
      <c r="ED31" s="400"/>
      <c r="EE31" s="403"/>
    </row>
    <row r="32" spans="1:135" x14ac:dyDescent="0.35">
      <c r="A32" s="140">
        <v>142.2816</v>
      </c>
      <c r="B32" s="17">
        <v>598</v>
      </c>
      <c r="C32" s="131" t="s">
        <v>161</v>
      </c>
      <c r="D32" s="99" t="s">
        <v>202</v>
      </c>
      <c r="E32" s="114">
        <v>6.4999999999999994E-5</v>
      </c>
      <c r="F32" s="119">
        <v>4.8393747565283292E-4</v>
      </c>
      <c r="G32" s="114">
        <v>8.0000000000000007E-5</v>
      </c>
      <c r="H32" s="119">
        <v>5.9468238199847693E-4</v>
      </c>
      <c r="I32" s="114">
        <v>5.3200000000000003E-4</v>
      </c>
      <c r="J32" s="49">
        <v>3.9255525999719338E-3</v>
      </c>
      <c r="K32" s="114">
        <v>0</v>
      </c>
      <c r="L32" s="49">
        <v>0</v>
      </c>
      <c r="M32" s="114">
        <v>3.1000000000000001E-5</v>
      </c>
      <c r="N32" s="49">
        <v>2.3149990966130947E-4</v>
      </c>
      <c r="O32" s="114">
        <v>7.2000000000000005E-4</v>
      </c>
      <c r="P32" s="49">
        <v>5.0643728270079527E-3</v>
      </c>
      <c r="Q32" s="114">
        <v>4.0000000000000003E-5</v>
      </c>
      <c r="R32" s="49">
        <v>2.8648382261897758E-4</v>
      </c>
      <c r="S32" s="114">
        <v>6.6E-4</v>
      </c>
      <c r="T32" s="49">
        <v>3.4939936600706183E-3</v>
      </c>
      <c r="U32" s="152">
        <f t="shared" si="3"/>
        <v>7.164965517241379E-4</v>
      </c>
      <c r="V32" s="153">
        <f t="shared" si="4"/>
        <v>4.7434324304727457E-3</v>
      </c>
      <c r="W32" s="152">
        <f t="shared" si="3"/>
        <v>9.1724137931034481E-4</v>
      </c>
      <c r="X32" s="153">
        <f t="shared" ref="X32" si="66">$A32*W32/X$40</f>
        <v>6.1929156728381526E-3</v>
      </c>
      <c r="Y32" s="152">
        <f t="shared" si="3"/>
        <v>8.2596074270557037E-4</v>
      </c>
      <c r="Z32" s="153">
        <f t="shared" ref="Z32" si="67">$A32*Y32/Z$40</f>
        <v>5.7573424254360097E-3</v>
      </c>
      <c r="AA32" s="152">
        <f t="shared" si="3"/>
        <v>9.8279893899204233E-4</v>
      </c>
      <c r="AB32" s="153">
        <f t="shared" ref="AB32" si="68">$A32*AA32/AB$40</f>
        <v>6.5867358714233985E-3</v>
      </c>
      <c r="AC32" s="152">
        <f t="shared" si="3"/>
        <v>4.4237241379310347E-4</v>
      </c>
      <c r="AD32" s="153">
        <f t="shared" ref="AD32" si="69">$A32*AC32/AD$40</f>
        <v>2.818896237919419E-3</v>
      </c>
      <c r="AE32" s="152">
        <f t="shared" si="3"/>
        <v>3.6673527851458887E-4</v>
      </c>
      <c r="AF32" s="153">
        <f t="shared" ref="AF32" si="70">$A32*AE32/AF$40</f>
        <v>2.6963404295736334E-3</v>
      </c>
      <c r="AG32" s="152">
        <f t="shared" si="3"/>
        <v>5.8098673740053053E-4</v>
      </c>
      <c r="AH32" s="153">
        <f t="shared" ref="AH32" si="71">$A32*AG32/AH$40</f>
        <v>4.0440731194248576E-3</v>
      </c>
      <c r="AI32" s="152">
        <f t="shared" si="3"/>
        <v>1.2082588859416447E-3</v>
      </c>
      <c r="AJ32" s="153">
        <f t="shared" ref="AJ32" si="72">$A32*AI32/AJ$40</f>
        <v>8.432752507231878E-3</v>
      </c>
      <c r="AK32" s="152">
        <f t="shared" si="3"/>
        <v>8.207193633952254E-4</v>
      </c>
      <c r="AL32" s="153">
        <f t="shared" ref="AL32" si="73">$A32*AK32/AL$40</f>
        <v>5.4570910733626535E-3</v>
      </c>
      <c r="AM32" s="152">
        <f t="shared" si="3"/>
        <v>1.2052753315649868E-3</v>
      </c>
      <c r="AN32" s="153">
        <f t="shared" ref="AN32" si="74">$A32*AM32/AN$40</f>
        <v>8.1721184121673809E-3</v>
      </c>
      <c r="AO32" s="152">
        <f t="shared" si="3"/>
        <v>4.8301326259946948E-4</v>
      </c>
      <c r="AP32" s="153">
        <f t="shared" ref="AP32" si="75">$A32*AO32/AP$40</f>
        <v>3.4411474294386564E-3</v>
      </c>
      <c r="AQ32" s="152">
        <f t="shared" si="3"/>
        <v>6.3751299734748012E-4</v>
      </c>
      <c r="AR32" s="153">
        <f t="shared" ref="AR32" si="76">$A32*AQ32/AR$40</f>
        <v>4.506865479895766E-3</v>
      </c>
      <c r="AS32" s="152">
        <f t="shared" si="3"/>
        <v>2.3183023872679046E-4</v>
      </c>
      <c r="AT32" s="153">
        <f t="shared" ref="AT32" si="77">$A32*AS32/AT$40</f>
        <v>1.6924229930997254E-3</v>
      </c>
      <c r="AU32" s="152">
        <f t="shared" si="3"/>
        <v>0</v>
      </c>
      <c r="AV32" s="153"/>
      <c r="AW32" s="152">
        <f t="shared" si="3"/>
        <v>4.0447320954907159E-4</v>
      </c>
      <c r="AX32" s="153">
        <f t="shared" ref="AX32" si="78">$A32*AW32/AX$40</f>
        <v>2.9235111226631537E-3</v>
      </c>
      <c r="AY32" s="152">
        <f t="shared" si="3"/>
        <v>0</v>
      </c>
      <c r="AZ32" s="156"/>
      <c r="BA32" s="152">
        <f t="shared" si="3"/>
        <v>0</v>
      </c>
      <c r="BB32" s="156"/>
      <c r="BC32" s="152">
        <f t="shared" si="3"/>
        <v>0</v>
      </c>
      <c r="BD32" s="156"/>
      <c r="BE32" s="152">
        <f t="shared" si="3"/>
        <v>0</v>
      </c>
      <c r="BF32" s="156"/>
      <c r="BG32" s="152">
        <f t="shared" si="3"/>
        <v>0</v>
      </c>
      <c r="BH32" s="156"/>
      <c r="BI32" s="152">
        <f t="shared" si="3"/>
        <v>7.5959681697612742E-5</v>
      </c>
      <c r="BJ32" s="153">
        <f t="shared" si="18"/>
        <v>5.3895628977326825E-4</v>
      </c>
      <c r="BK32" s="152">
        <f t="shared" si="3"/>
        <v>2.233633952254642E-4</v>
      </c>
      <c r="BL32" s="153">
        <f t="shared" si="19"/>
        <v>1.4829076450622316E-3</v>
      </c>
      <c r="BM32" s="152">
        <f t="shared" si="3"/>
        <v>3.056127320954907E-4</v>
      </c>
      <c r="BN32" s="153">
        <f t="shared" si="20"/>
        <v>2.075332797200249E-3</v>
      </c>
      <c r="BO32" s="152">
        <f t="shared" si="3"/>
        <v>9.5457612732095494E-4</v>
      </c>
      <c r="BP32" s="153">
        <f t="shared" si="21"/>
        <v>5.6571193315015211E-3</v>
      </c>
      <c r="BQ32" s="152">
        <f t="shared" si="3"/>
        <v>1.3119575596816976E-4</v>
      </c>
      <c r="BR32" s="153">
        <f t="shared" si="22"/>
        <v>8.7013219665060912E-4</v>
      </c>
      <c r="BS32" s="152">
        <f t="shared" si="3"/>
        <v>1.7272360742705568E-4</v>
      </c>
      <c r="BT32" s="153">
        <f t="shared" si="23"/>
        <v>1.1291929395733462E-3</v>
      </c>
      <c r="BU32" s="152">
        <f t="shared" si="3"/>
        <v>1.3063129973474801E-5</v>
      </c>
      <c r="BV32" s="153">
        <f t="shared" si="24"/>
        <v>1.0488618875440521E-4</v>
      </c>
      <c r="BW32" s="161">
        <f t="shared" si="0"/>
        <v>3.2208515610498327E-3</v>
      </c>
      <c r="BX32" s="166">
        <f t="shared" si="1"/>
        <v>0.32175634457736324</v>
      </c>
      <c r="BY32" s="17">
        <f t="shared" si="2"/>
        <v>2.4941645657865249E-3</v>
      </c>
      <c r="CA32" t="s">
        <v>202</v>
      </c>
      <c r="CB32" s="24">
        <f t="shared" si="25"/>
        <v>2.6600000000000001E-4</v>
      </c>
      <c r="CC32" s="97">
        <f t="shared" si="26"/>
        <v>8.0636604774535811E-2</v>
      </c>
      <c r="CD32" s="407"/>
      <c r="CE32" s="410"/>
      <c r="CF32" s="413"/>
      <c r="CG32" s="410"/>
      <c r="CH32" s="413"/>
      <c r="CI32" s="410"/>
      <c r="CJ32" s="413"/>
      <c r="CK32" s="410"/>
      <c r="CL32" s="413"/>
      <c r="CM32" s="410"/>
      <c r="CN32" s="401"/>
      <c r="CO32" s="404"/>
      <c r="CP32" s="401"/>
      <c r="CQ32" s="404"/>
      <c r="CR32" s="401"/>
      <c r="CS32" s="404"/>
      <c r="CT32" s="401"/>
      <c r="CU32" s="404"/>
      <c r="CV32" s="401"/>
      <c r="CW32" s="404"/>
      <c r="CX32" s="401"/>
      <c r="CY32" s="404"/>
      <c r="CZ32" s="401"/>
      <c r="DA32" s="404"/>
      <c r="DB32" s="401"/>
      <c r="DC32" s="404"/>
      <c r="DD32" s="401"/>
      <c r="DE32" s="404"/>
      <c r="DF32" s="401"/>
      <c r="DG32" s="404"/>
      <c r="DH32" s="401"/>
      <c r="DI32" s="404"/>
      <c r="DJ32" s="401"/>
      <c r="DK32" s="404"/>
      <c r="DL32" s="401"/>
      <c r="DM32" s="404"/>
      <c r="DN32" s="401"/>
      <c r="DO32" s="404"/>
      <c r="DP32" s="401"/>
      <c r="DQ32" s="404"/>
      <c r="DR32" s="401"/>
      <c r="DS32" s="404"/>
      <c r="DT32" s="401"/>
      <c r="DU32" s="404"/>
      <c r="DV32" s="401"/>
      <c r="DW32" s="404"/>
      <c r="DX32" s="401"/>
      <c r="DY32" s="404"/>
      <c r="DZ32" s="401"/>
      <c r="EA32" s="404"/>
      <c r="EB32" s="401"/>
      <c r="EC32" s="404"/>
      <c r="ED32" s="401"/>
      <c r="EE32" s="404"/>
    </row>
    <row r="33" spans="1:135" x14ac:dyDescent="0.35">
      <c r="A33" s="140">
        <f>12.0107*6+1.00794*6</f>
        <v>78.111840000000001</v>
      </c>
      <c r="B33" s="17">
        <v>302</v>
      </c>
      <c r="C33" s="131" t="s">
        <v>152</v>
      </c>
      <c r="D33" s="99" t="s">
        <v>152</v>
      </c>
      <c r="E33" s="114">
        <v>6.9999999999999999E-6</v>
      </c>
      <c r="F33" s="49">
        <v>2.8611578717262813E-5</v>
      </c>
      <c r="G33" s="114">
        <v>6.0000000000000002E-6</v>
      </c>
      <c r="H33" s="49">
        <v>2.4485795574745067E-5</v>
      </c>
      <c r="I33" s="114">
        <v>6.9999999999999999E-6</v>
      </c>
      <c r="J33" s="49">
        <v>2.8356661070656282E-5</v>
      </c>
      <c r="K33" s="114">
        <v>9.9999999999999995E-7</v>
      </c>
      <c r="L33" s="49">
        <v>4.314476772033872E-6</v>
      </c>
      <c r="M33" s="114">
        <v>6.0000000000000002E-6</v>
      </c>
      <c r="N33" s="49">
        <v>2.4598479674800826E-5</v>
      </c>
      <c r="O33" s="114">
        <v>5.0000000000000002E-5</v>
      </c>
      <c r="P33" s="49">
        <v>1.9307723085115036E-4</v>
      </c>
      <c r="Q33" s="114">
        <v>1.2E-5</v>
      </c>
      <c r="R33" s="49">
        <v>4.7183400944524887E-5</v>
      </c>
      <c r="S33" s="114">
        <v>4.0000000000000003E-5</v>
      </c>
      <c r="T33" s="49">
        <v>1.1625350405488033E-4</v>
      </c>
      <c r="U33" s="152">
        <f t="shared" ref="U33:U37" si="79">$CC33*CD$27</f>
        <v>4.3434236453201966E-5</v>
      </c>
      <c r="V33" s="153">
        <f t="shared" ref="V33:V37" si="80">$A33*U33/V$40</f>
        <v>1.5786248428037558E-4</v>
      </c>
      <c r="W33" s="152">
        <f t="shared" ref="W33:W37" si="81">$CC33*CF$27</f>
        <v>5.5603448275862065E-5</v>
      </c>
      <c r="X33" s="153">
        <f t="shared" ref="X33:X37" si="82">$A33*W33/X$40</f>
        <v>2.0610160835698269E-4</v>
      </c>
      <c r="Y33" s="152">
        <f t="shared" ref="Y33:Y37" si="83">$CC33*CH$27</f>
        <v>5.0069988632057599E-5</v>
      </c>
      <c r="Z33" s="153">
        <f t="shared" ref="Z33:Z37" si="84">$A33*Y33/Z$40</f>
        <v>1.9160563399056382E-4</v>
      </c>
      <c r="AA33" s="152">
        <f t="shared" ref="AA33:AA37" si="85">$CC33*CJ$27</f>
        <v>5.9577567260325873E-5</v>
      </c>
      <c r="AB33" s="153">
        <f t="shared" ref="AB33:AB37" si="86">$A33*AA33/AB$40</f>
        <v>2.1920803199001882E-4</v>
      </c>
      <c r="AC33" s="152">
        <f t="shared" ref="AC33:AC37" si="87">$CC33*CL$27</f>
        <v>2.6816748768472906E-5</v>
      </c>
      <c r="AD33" s="153">
        <f t="shared" ref="AD33:AD37" si="88">$A33*AC33/AD$40</f>
        <v>9.3813492564542394E-5</v>
      </c>
      <c r="AE33" s="152">
        <f t="shared" ref="AE33:AE37" si="89">$CC33*CN$27</f>
        <v>2.2231602879878741E-5</v>
      </c>
      <c r="AF33" s="153">
        <f t="shared" ref="AF33:AF37" si="90">$A33*AE33/AF$40</f>
        <v>8.9734808056639089E-5</v>
      </c>
      <c r="AG33" s="152">
        <f t="shared" ref="AG33:AG37" si="91">$CC33*CP$27</f>
        <v>3.5219590754073511E-5</v>
      </c>
      <c r="AH33" s="153">
        <f t="shared" ref="AH33:AH37" si="92">$A33*AG33/AH$40</f>
        <v>1.3458765115797599E-4</v>
      </c>
      <c r="AI33" s="152">
        <f t="shared" ref="AI33:AI37" si="93">$CC33*CR$27</f>
        <v>7.32450170519136E-5</v>
      </c>
      <c r="AJ33" s="153">
        <f t="shared" ref="AJ33:AJ37" si="94">$A33*AI33/AJ$40</f>
        <v>2.8064387542683233E-4</v>
      </c>
      <c r="AK33" s="152">
        <f t="shared" ref="AK33:AK37" si="95">$CC33*CT$27</f>
        <v>4.9752254641909806E-5</v>
      </c>
      <c r="AL33" s="153">
        <f t="shared" ref="AL33:AL37" si="96">$A33*AK33/AL$40</f>
        <v>1.8161320234078528E-4</v>
      </c>
      <c r="AM33" s="152">
        <f t="shared" ref="AM33:AM37" si="97">$CC33*CV$27</f>
        <v>7.3064153088291017E-5</v>
      </c>
      <c r="AN33" s="153">
        <f t="shared" ref="AN33:AN37" si="98">$A33*AM33/AN$40</f>
        <v>2.7196991488494086E-4</v>
      </c>
      <c r="AO33" s="152">
        <f t="shared" ref="AO33:AO37" si="99">$CC33*CX$27</f>
        <v>2.9280409245926485E-5</v>
      </c>
      <c r="AP33" s="153">
        <f t="shared" ref="AP33:AP37" si="100">$A33*AO33/AP$40</f>
        <v>1.1452215035180231E-4</v>
      </c>
      <c r="AQ33" s="152">
        <f t="shared" ref="AQ33:AQ37" si="101">$CC33*CZ$27</f>
        <v>3.8646229632436529E-5</v>
      </c>
      <c r="AR33" s="153">
        <f t="shared" ref="AR33:AR37" si="102">$A33*AQ33/AR$40</f>
        <v>1.4998948364969248E-4</v>
      </c>
      <c r="AS33" s="152">
        <f t="shared" ref="AS33:AS37" si="103">$CC33*DB$27</f>
        <v>1.4053618794998104E-5</v>
      </c>
      <c r="AT33" s="153">
        <f t="shared" ref="AT33:AT37" si="104">$A33*AS33/AT$40</f>
        <v>5.6324212911223982E-5</v>
      </c>
      <c r="AU33" s="152">
        <f t="shared" si="3"/>
        <v>0</v>
      </c>
      <c r="AV33" s="49">
        <v>0</v>
      </c>
      <c r="AW33" s="152">
        <f t="shared" ref="AW33:AW37" si="105">$CC33*DF$27</f>
        <v>2.4519287608942779E-5</v>
      </c>
      <c r="AX33" s="153">
        <f t="shared" ref="AX33:AX37" si="106">$A33*AW33/AX$40</f>
        <v>9.7295099152265035E-5</v>
      </c>
      <c r="AY33" s="152">
        <f t="shared" si="3"/>
        <v>0</v>
      </c>
      <c r="AZ33" s="49">
        <v>0</v>
      </c>
      <c r="BA33" s="152">
        <f t="shared" si="3"/>
        <v>0</v>
      </c>
      <c r="BB33" s="49">
        <v>0</v>
      </c>
      <c r="BC33" s="152">
        <f t="shared" si="3"/>
        <v>0</v>
      </c>
      <c r="BD33" s="49">
        <v>0</v>
      </c>
      <c r="BE33" s="152">
        <f t="shared" si="3"/>
        <v>0</v>
      </c>
      <c r="BF33" s="49">
        <v>0</v>
      </c>
      <c r="BG33" s="152">
        <f t="shared" si="3"/>
        <v>0</v>
      </c>
      <c r="BH33" s="49">
        <v>0</v>
      </c>
      <c r="BI33" s="152">
        <f t="shared" ref="BI33:BI37" si="107">$CC33*DR$27</f>
        <v>4.6046987495263358E-6</v>
      </c>
      <c r="BJ33" s="153">
        <f t="shared" ref="BJ33:BJ37" si="108">$A33*BI33/BJ$40</f>
        <v>1.7936584966524478E-5</v>
      </c>
      <c r="BK33" s="152">
        <f t="shared" ref="BK33:BK37" si="109">$CC33*DT$27</f>
        <v>1.3540356195528607E-5</v>
      </c>
      <c r="BL33" s="153">
        <f t="shared" ref="BL33:BL37" si="110">$A33*BK33/BL$40</f>
        <v>4.9351495618238326E-5</v>
      </c>
      <c r="BM33" s="152">
        <f t="shared" ref="BM33:BM37" si="111">$CC33*DV$27</f>
        <v>1.8526335733232283E-5</v>
      </c>
      <c r="BN33" s="153">
        <f t="shared" ref="BN33:BN37" si="112">$A33*BM33/BN$40</f>
        <v>6.9067536193810782E-5</v>
      </c>
      <c r="BO33" s="152">
        <f t="shared" ref="BO33:BO37" si="113">$CC33*DX$27</f>
        <v>5.7866691928760888E-5</v>
      </c>
      <c r="BP33" s="153">
        <f t="shared" ref="BP33:BP37" si="114">$A33*BO33/BP$40</f>
        <v>1.8827018717590622E-4</v>
      </c>
      <c r="BQ33" s="152">
        <f t="shared" ref="BQ33:BQ37" si="115">$CC33*DZ$27</f>
        <v>7.9531261841606663E-6</v>
      </c>
      <c r="BR33" s="153">
        <f t="shared" ref="BR33:BR37" si="116">$A33*BQ33/BR$40</f>
        <v>2.8958192665119423E-5</v>
      </c>
      <c r="BS33" s="152">
        <f t="shared" ref="BS33:BS37" si="117">$CC33*EB$27</f>
        <v>1.0470557029177717E-5</v>
      </c>
      <c r="BT33" s="153">
        <f t="shared" ref="BT33:BT37" si="118">$A33*BS33/BT$40</f>
        <v>3.7579791698464816E-5</v>
      </c>
      <c r="BU33" s="152">
        <f t="shared" si="3"/>
        <v>7.9189086775293669E-7</v>
      </c>
      <c r="BV33" s="153">
        <f t="shared" si="24"/>
        <v>3.4906356454245135E-6</v>
      </c>
      <c r="BW33" s="161">
        <f t="shared" si="0"/>
        <v>8.8765920021090976E-5</v>
      </c>
      <c r="BX33" s="166">
        <f t="shared" si="1"/>
        <v>8.8675300328722347E-3</v>
      </c>
      <c r="BY33" s="17">
        <f t="shared" si="2"/>
        <v>8.513259251327069E-5</v>
      </c>
      <c r="CA33" t="s">
        <v>152</v>
      </c>
      <c r="CB33" s="24">
        <f t="shared" si="25"/>
        <v>1.6124999999999999E-5</v>
      </c>
      <c r="CC33" s="97">
        <f t="shared" si="26"/>
        <v>4.888215233042819E-3</v>
      </c>
      <c r="CD33" s="104">
        <v>0</v>
      </c>
      <c r="CE33" s="49">
        <v>0</v>
      </c>
      <c r="CF33" s="113">
        <v>0</v>
      </c>
      <c r="CG33" s="49">
        <v>0</v>
      </c>
      <c r="CH33" s="113">
        <v>0</v>
      </c>
      <c r="CI33" s="49">
        <v>0</v>
      </c>
      <c r="CJ33" s="113">
        <v>0</v>
      </c>
      <c r="CK33" s="49">
        <v>0</v>
      </c>
      <c r="CL33" s="113">
        <v>0</v>
      </c>
      <c r="CM33" s="49">
        <v>0</v>
      </c>
      <c r="CN33" s="113">
        <v>0</v>
      </c>
      <c r="CO33" s="49">
        <v>0</v>
      </c>
      <c r="CP33" s="113">
        <v>0</v>
      </c>
      <c r="CQ33" s="49">
        <v>0</v>
      </c>
      <c r="CR33" s="113">
        <v>0</v>
      </c>
      <c r="CS33" s="49">
        <v>0</v>
      </c>
      <c r="CT33" s="113">
        <v>0</v>
      </c>
      <c r="CU33" s="49">
        <v>0</v>
      </c>
      <c r="CV33" s="113">
        <v>0</v>
      </c>
      <c r="CW33" s="49">
        <v>0</v>
      </c>
      <c r="CX33" s="113">
        <v>0</v>
      </c>
      <c r="CY33" s="49">
        <v>0</v>
      </c>
      <c r="CZ33" s="113">
        <v>0</v>
      </c>
      <c r="DA33" s="49">
        <v>0</v>
      </c>
      <c r="DB33" s="113">
        <v>0</v>
      </c>
      <c r="DC33" s="49">
        <v>0</v>
      </c>
      <c r="DD33" s="113">
        <v>0</v>
      </c>
      <c r="DE33" s="49">
        <v>0</v>
      </c>
      <c r="DF33" s="113">
        <v>0</v>
      </c>
      <c r="DG33" s="49">
        <v>0</v>
      </c>
      <c r="DH33" s="113">
        <v>0</v>
      </c>
      <c r="DI33" s="49">
        <v>0</v>
      </c>
      <c r="DJ33" s="113">
        <v>0</v>
      </c>
      <c r="DK33" s="49">
        <v>0</v>
      </c>
      <c r="DL33" s="113">
        <v>0</v>
      </c>
      <c r="DM33" s="49">
        <v>0</v>
      </c>
      <c r="DN33" s="113">
        <v>0</v>
      </c>
      <c r="DO33" s="49">
        <v>0</v>
      </c>
      <c r="DP33" s="113">
        <v>0</v>
      </c>
      <c r="DQ33" s="49">
        <v>0</v>
      </c>
      <c r="DR33" s="113">
        <v>0</v>
      </c>
      <c r="DS33" s="49">
        <v>0</v>
      </c>
      <c r="DT33" s="113">
        <v>0</v>
      </c>
      <c r="DU33" s="49">
        <v>0</v>
      </c>
      <c r="DV33" s="113">
        <v>0</v>
      </c>
      <c r="DW33" s="49">
        <v>0</v>
      </c>
      <c r="DX33" s="113">
        <v>0</v>
      </c>
      <c r="DY33" s="49">
        <v>0</v>
      </c>
      <c r="DZ33" s="113">
        <v>0</v>
      </c>
      <c r="EA33" s="49">
        <v>0</v>
      </c>
      <c r="EB33" s="113">
        <v>0</v>
      </c>
      <c r="EC33" s="49">
        <v>0</v>
      </c>
      <c r="ED33" s="113">
        <v>0</v>
      </c>
      <c r="EE33" s="49">
        <v>0</v>
      </c>
    </row>
    <row r="34" spans="1:135" x14ac:dyDescent="0.35">
      <c r="A34" s="140">
        <f>12.0107*7+1.00794*8</f>
        <v>92.138419999999996</v>
      </c>
      <c r="B34" s="17">
        <v>717</v>
      </c>
      <c r="C34" s="131" t="s">
        <v>153</v>
      </c>
      <c r="D34" s="99" t="s">
        <v>153</v>
      </c>
      <c r="E34" s="114">
        <v>1.5999999999999999E-5</v>
      </c>
      <c r="F34" s="49">
        <v>7.714142496090506E-5</v>
      </c>
      <c r="G34" s="114">
        <v>1.5E-5</v>
      </c>
      <c r="H34" s="49">
        <v>7.2206803626057267E-5</v>
      </c>
      <c r="I34" s="114">
        <v>2.5999999999999998E-5</v>
      </c>
      <c r="J34" s="49">
        <v>1.2423795462592068E-4</v>
      </c>
      <c r="K34" s="114">
        <v>3.0000000000000001E-6</v>
      </c>
      <c r="L34" s="49">
        <v>1.5267688210976768E-5</v>
      </c>
      <c r="M34" s="114">
        <v>1.4E-5</v>
      </c>
      <c r="N34" s="49">
        <v>6.7703160670938101E-5</v>
      </c>
      <c r="O34" s="114">
        <v>1.2E-4</v>
      </c>
      <c r="P34" s="49">
        <v>5.4659568091905907E-4</v>
      </c>
      <c r="Q34" s="114">
        <v>3.4999999999999997E-5</v>
      </c>
      <c r="R34" s="49">
        <v>1.6233042739735535E-4</v>
      </c>
      <c r="S34" s="114">
        <v>1.2E-4</v>
      </c>
      <c r="T34" s="49">
        <v>4.113876020490722E-4</v>
      </c>
      <c r="U34" s="152">
        <f t="shared" si="79"/>
        <v>1.1750812807881772E-4</v>
      </c>
      <c r="V34" s="153">
        <f t="shared" si="80"/>
        <v>5.0377723932951135E-4</v>
      </c>
      <c r="W34" s="152">
        <f t="shared" si="81"/>
        <v>1.504310344827586E-4</v>
      </c>
      <c r="X34" s="153">
        <f t="shared" si="82"/>
        <v>6.5771991206627848E-4</v>
      </c>
      <c r="Y34" s="152">
        <f t="shared" si="83"/>
        <v>1.354606669192876E-4</v>
      </c>
      <c r="Z34" s="153">
        <f t="shared" si="84"/>
        <v>6.1145976367829493E-4</v>
      </c>
      <c r="AA34" s="152">
        <f t="shared" si="85"/>
        <v>1.6118272072754828E-4</v>
      </c>
      <c r="AB34" s="153">
        <f t="shared" si="86"/>
        <v>6.9954566911953158E-4</v>
      </c>
      <c r="AC34" s="152">
        <f t="shared" si="87"/>
        <v>7.255073891625616E-5</v>
      </c>
      <c r="AD34" s="153">
        <f t="shared" si="88"/>
        <v>2.9938146806359362E-4</v>
      </c>
      <c r="AE34" s="152">
        <f t="shared" si="89"/>
        <v>6.0145964380447137E-5</v>
      </c>
      <c r="AF34" s="153">
        <f t="shared" si="90"/>
        <v>2.8636540265163552E-4</v>
      </c>
      <c r="AG34" s="152">
        <f t="shared" si="91"/>
        <v>9.5284009094353909E-5</v>
      </c>
      <c r="AH34" s="153">
        <f t="shared" si="92"/>
        <v>4.2950163654961038E-4</v>
      </c>
      <c r="AI34" s="152">
        <f t="shared" si="93"/>
        <v>1.981589996210686E-4</v>
      </c>
      <c r="AJ34" s="153">
        <f t="shared" si="94"/>
        <v>8.9560225434030241E-4</v>
      </c>
      <c r="AK34" s="152">
        <f t="shared" si="95"/>
        <v>1.3460106100795754E-4</v>
      </c>
      <c r="AL34" s="153">
        <f t="shared" si="96"/>
        <v>5.7957150565637286E-4</v>
      </c>
      <c r="AM34" s="152">
        <f t="shared" si="97"/>
        <v>1.9766968548692686E-4</v>
      </c>
      <c r="AN34" s="153">
        <f t="shared" si="98"/>
        <v>8.6792155543475224E-4</v>
      </c>
      <c r="AO34" s="152">
        <f t="shared" si="99"/>
        <v>7.9215990905646077E-5</v>
      </c>
      <c r="AP34" s="153">
        <f t="shared" si="100"/>
        <v>3.6546778678487002E-4</v>
      </c>
      <c r="AQ34" s="152">
        <f t="shared" si="101"/>
        <v>1.045545282303903E-4</v>
      </c>
      <c r="AR34" s="153">
        <f t="shared" si="102"/>
        <v>4.7865259656815261E-4</v>
      </c>
      <c r="AS34" s="152">
        <f t="shared" si="103"/>
        <v>3.8021030693444484E-5</v>
      </c>
      <c r="AT34" s="153">
        <f t="shared" si="104"/>
        <v>1.7974414007971757E-4</v>
      </c>
      <c r="AU34" s="152">
        <f t="shared" si="3"/>
        <v>0</v>
      </c>
      <c r="AV34" s="49">
        <v>0</v>
      </c>
      <c r="AW34" s="152">
        <f t="shared" si="105"/>
        <v>6.6335126942023483E-5</v>
      </c>
      <c r="AX34" s="153">
        <f t="shared" si="106"/>
        <v>3.104921139095008E-4</v>
      </c>
      <c r="AY34" s="152">
        <f t="shared" si="3"/>
        <v>0</v>
      </c>
      <c r="AZ34" s="49">
        <v>0</v>
      </c>
      <c r="BA34" s="152">
        <f t="shared" si="3"/>
        <v>0</v>
      </c>
      <c r="BB34" s="49">
        <v>0</v>
      </c>
      <c r="BC34" s="152">
        <f t="shared" si="3"/>
        <v>0</v>
      </c>
      <c r="BD34" s="49">
        <v>0</v>
      </c>
      <c r="BE34" s="152">
        <f t="shared" si="3"/>
        <v>0</v>
      </c>
      <c r="BF34" s="49">
        <v>0</v>
      </c>
      <c r="BG34" s="152">
        <f t="shared" si="3"/>
        <v>0</v>
      </c>
      <c r="BH34" s="49">
        <v>0</v>
      </c>
      <c r="BI34" s="152">
        <f t="shared" si="107"/>
        <v>1.2457673361121637E-5</v>
      </c>
      <c r="BJ34" s="153">
        <f t="shared" si="108"/>
        <v>5.7239966155519438E-5</v>
      </c>
      <c r="BK34" s="152">
        <f t="shared" si="109"/>
        <v>3.6632436528988247E-5</v>
      </c>
      <c r="BL34" s="153">
        <f t="shared" si="110"/>
        <v>1.5749251845791E-4</v>
      </c>
      <c r="BM34" s="152">
        <f t="shared" si="111"/>
        <v>5.0121636983705945E-5</v>
      </c>
      <c r="BN34" s="153">
        <f t="shared" si="112"/>
        <v>2.2041115639109796E-4</v>
      </c>
      <c r="BO34" s="152">
        <f t="shared" si="113"/>
        <v>1.5655407351269419E-4</v>
      </c>
      <c r="BP34" s="153">
        <f t="shared" si="114"/>
        <v>6.0081554889934708E-4</v>
      </c>
      <c r="BQ34" s="152">
        <f t="shared" si="115"/>
        <v>2.1516597195907538E-5</v>
      </c>
      <c r="BR34" s="153">
        <f t="shared" si="116"/>
        <v>9.2412573027140111E-5</v>
      </c>
      <c r="BS34" s="152">
        <f t="shared" si="117"/>
        <v>2.8327320954907157E-5</v>
      </c>
      <c r="BT34" s="153">
        <f t="shared" si="118"/>
        <v>1.1992617373743037E-4</v>
      </c>
      <c r="BU34" s="152">
        <f t="shared" si="3"/>
        <v>2.1424024251610458E-6</v>
      </c>
      <c r="BV34" s="153">
        <f t="shared" si="24"/>
        <v>1.1139459745444749E-5</v>
      </c>
      <c r="BW34" s="161">
        <f t="shared" si="0"/>
        <v>2.8290031951732286E-4</v>
      </c>
      <c r="BX34" s="166">
        <f t="shared" si="1"/>
        <v>2.8261151115574052E-2</v>
      </c>
      <c r="BY34" s="17">
        <f t="shared" si="2"/>
        <v>2.6973536483799104E-4</v>
      </c>
      <c r="CA34" t="s">
        <v>153</v>
      </c>
      <c r="CB34" s="24">
        <f t="shared" si="25"/>
        <v>4.3624999999999997E-5</v>
      </c>
      <c r="CC34" s="97">
        <f t="shared" si="26"/>
        <v>1.3224706328154603E-2</v>
      </c>
      <c r="CD34" s="104">
        <v>0</v>
      </c>
      <c r="CE34" s="49">
        <v>0</v>
      </c>
      <c r="CF34" s="113">
        <v>0</v>
      </c>
      <c r="CG34" s="49">
        <v>0</v>
      </c>
      <c r="CH34" s="113">
        <v>0</v>
      </c>
      <c r="CI34" s="49">
        <v>0</v>
      </c>
      <c r="CJ34" s="113">
        <v>0</v>
      </c>
      <c r="CK34" s="49">
        <v>0</v>
      </c>
      <c r="CL34" s="113">
        <v>0</v>
      </c>
      <c r="CM34" s="49">
        <v>0</v>
      </c>
      <c r="CN34" s="113">
        <v>0</v>
      </c>
      <c r="CO34" s="49">
        <v>0</v>
      </c>
      <c r="CP34" s="113">
        <v>0</v>
      </c>
      <c r="CQ34" s="49">
        <v>0</v>
      </c>
      <c r="CR34" s="113">
        <v>0</v>
      </c>
      <c r="CS34" s="49">
        <v>0</v>
      </c>
      <c r="CT34" s="113">
        <v>0</v>
      </c>
      <c r="CU34" s="49">
        <v>0</v>
      </c>
      <c r="CV34" s="113">
        <v>0</v>
      </c>
      <c r="CW34" s="49">
        <v>0</v>
      </c>
      <c r="CX34" s="113">
        <v>0</v>
      </c>
      <c r="CY34" s="49">
        <v>0</v>
      </c>
      <c r="CZ34" s="113">
        <v>0</v>
      </c>
      <c r="DA34" s="49">
        <v>0</v>
      </c>
      <c r="DB34" s="113">
        <v>0</v>
      </c>
      <c r="DC34" s="49">
        <v>0</v>
      </c>
      <c r="DD34" s="113">
        <v>0</v>
      </c>
      <c r="DE34" s="49">
        <v>0</v>
      </c>
      <c r="DF34" s="113">
        <v>0</v>
      </c>
      <c r="DG34" s="49">
        <v>0</v>
      </c>
      <c r="DH34" s="113">
        <v>0</v>
      </c>
      <c r="DI34" s="49">
        <v>0</v>
      </c>
      <c r="DJ34" s="113">
        <v>0</v>
      </c>
      <c r="DK34" s="49">
        <v>0</v>
      </c>
      <c r="DL34" s="113">
        <v>0</v>
      </c>
      <c r="DM34" s="49">
        <v>0</v>
      </c>
      <c r="DN34" s="113">
        <v>0</v>
      </c>
      <c r="DO34" s="49">
        <v>0</v>
      </c>
      <c r="DP34" s="113">
        <v>0</v>
      </c>
      <c r="DQ34" s="49">
        <v>0</v>
      </c>
      <c r="DR34" s="113">
        <v>0</v>
      </c>
      <c r="DS34" s="49">
        <v>0</v>
      </c>
      <c r="DT34" s="113">
        <v>0</v>
      </c>
      <c r="DU34" s="49">
        <v>0</v>
      </c>
      <c r="DV34" s="113">
        <v>0</v>
      </c>
      <c r="DW34" s="49">
        <v>0</v>
      </c>
      <c r="DX34" s="113">
        <v>0</v>
      </c>
      <c r="DY34" s="49">
        <v>0</v>
      </c>
      <c r="DZ34" s="113">
        <v>0</v>
      </c>
      <c r="EA34" s="49">
        <v>0</v>
      </c>
      <c r="EB34" s="113">
        <v>0</v>
      </c>
      <c r="EC34" s="49">
        <v>0</v>
      </c>
      <c r="ED34" s="113">
        <v>0</v>
      </c>
      <c r="EE34" s="49">
        <v>0</v>
      </c>
    </row>
    <row r="35" spans="1:135" x14ac:dyDescent="0.35">
      <c r="A35" s="140">
        <f>12.0107*8+1.00794*10</f>
        <v>106.16499999999999</v>
      </c>
      <c r="B35" s="17">
        <v>449</v>
      </c>
      <c r="C35" s="131" t="s">
        <v>154</v>
      </c>
      <c r="D35" s="99" t="s">
        <v>154</v>
      </c>
      <c r="E35" s="114">
        <v>9.9999999999999995E-7</v>
      </c>
      <c r="F35" s="49">
        <v>5.5553097319327305E-6</v>
      </c>
      <c r="G35" s="114">
        <v>9.9999999999999995E-7</v>
      </c>
      <c r="H35" s="49">
        <v>5.5466078876834581E-6</v>
      </c>
      <c r="I35" s="114">
        <v>3.0000000000000001E-6</v>
      </c>
      <c r="J35" s="49">
        <v>1.6517442476799332E-5</v>
      </c>
      <c r="K35" s="114">
        <v>0</v>
      </c>
      <c r="L35" s="49">
        <v>0</v>
      </c>
      <c r="M35" s="114">
        <v>0</v>
      </c>
      <c r="N35" s="49">
        <v>0</v>
      </c>
      <c r="O35" s="114">
        <v>0</v>
      </c>
      <c r="P35" s="49">
        <v>0</v>
      </c>
      <c r="Q35" s="114">
        <v>9.9999999999999995E-7</v>
      </c>
      <c r="R35" s="49">
        <v>5.3440743439956127E-6</v>
      </c>
      <c r="S35" s="114">
        <v>1.0000000000000001E-5</v>
      </c>
      <c r="T35" s="49">
        <v>3.9501224327791952E-5</v>
      </c>
      <c r="U35" s="152">
        <f t="shared" si="79"/>
        <v>5.3871921182266002E-6</v>
      </c>
      <c r="V35" s="153">
        <f t="shared" si="80"/>
        <v>2.6611766325283876E-5</v>
      </c>
      <c r="W35" s="152">
        <f t="shared" si="81"/>
        <v>6.89655172413793E-6</v>
      </c>
      <c r="X35" s="153">
        <f t="shared" si="82"/>
        <v>3.4743706624557562E-5</v>
      </c>
      <c r="Y35" s="152">
        <f t="shared" si="83"/>
        <v>6.2102311481621824E-6</v>
      </c>
      <c r="Z35" s="153">
        <f t="shared" si="84"/>
        <v>3.2300038743268555E-5</v>
      </c>
      <c r="AA35" s="152">
        <f t="shared" si="85"/>
        <v>7.3894657067070845E-6</v>
      </c>
      <c r="AB35" s="153">
        <f t="shared" si="86"/>
        <v>3.6953130128010516E-5</v>
      </c>
      <c r="AC35" s="152">
        <f t="shared" si="87"/>
        <v>3.3261083743842365E-6</v>
      </c>
      <c r="AD35" s="153">
        <f t="shared" si="88"/>
        <v>1.5814667770287411E-5</v>
      </c>
      <c r="AE35" s="152">
        <f t="shared" si="89"/>
        <v>2.7574081091322466E-6</v>
      </c>
      <c r="AF35" s="153">
        <f t="shared" si="90"/>
        <v>1.5127100996372328E-5</v>
      </c>
      <c r="AG35" s="152">
        <f t="shared" si="91"/>
        <v>4.3683213338385748E-6</v>
      </c>
      <c r="AH35" s="153">
        <f t="shared" si="92"/>
        <v>2.268819687724959E-5</v>
      </c>
      <c r="AI35" s="152">
        <f t="shared" si="93"/>
        <v>9.0846532777567259E-6</v>
      </c>
      <c r="AJ35" s="153">
        <f t="shared" si="94"/>
        <v>4.7309715589021473E-5</v>
      </c>
      <c r="AK35" s="152">
        <f t="shared" si="95"/>
        <v>6.1708222811671078E-6</v>
      </c>
      <c r="AL35" s="153">
        <f t="shared" si="96"/>
        <v>3.0615558372283202E-5</v>
      </c>
      <c r="AM35" s="152">
        <f t="shared" si="97"/>
        <v>9.0622205380826069E-6</v>
      </c>
      <c r="AN35" s="153">
        <f t="shared" si="98"/>
        <v>4.5847497303861472E-5</v>
      </c>
      <c r="AO35" s="152">
        <f t="shared" si="99"/>
        <v>3.6316786661614239E-6</v>
      </c>
      <c r="AP35" s="153">
        <f t="shared" si="100"/>
        <v>1.930564261752247E-5</v>
      </c>
      <c r="AQ35" s="152">
        <f t="shared" si="101"/>
        <v>4.7933308071239099E-6</v>
      </c>
      <c r="AR35" s="153">
        <f t="shared" si="102"/>
        <v>2.5284570354577892E-5</v>
      </c>
      <c r="AS35" s="152">
        <f t="shared" si="103"/>
        <v>1.7430845017051912E-6</v>
      </c>
      <c r="AT35" s="153">
        <f t="shared" si="104"/>
        <v>9.4948891706714496E-6</v>
      </c>
      <c r="AU35" s="152">
        <f t="shared" si="3"/>
        <v>0</v>
      </c>
      <c r="AV35" s="49">
        <v>0</v>
      </c>
      <c r="AW35" s="152">
        <f t="shared" si="105"/>
        <v>3.0411519514967786E-6</v>
      </c>
      <c r="AX35" s="153">
        <f t="shared" si="106"/>
        <v>1.6401581763003295E-5</v>
      </c>
      <c r="AY35" s="152">
        <f t="shared" si="3"/>
        <v>0</v>
      </c>
      <c r="AZ35" s="49">
        <v>0</v>
      </c>
      <c r="BA35" s="152">
        <f t="shared" si="3"/>
        <v>0</v>
      </c>
      <c r="BB35" s="49">
        <v>0</v>
      </c>
      <c r="BC35" s="152">
        <f t="shared" si="3"/>
        <v>0</v>
      </c>
      <c r="BD35" s="49">
        <v>0</v>
      </c>
      <c r="BE35" s="152">
        <f t="shared" si="3"/>
        <v>0</v>
      </c>
      <c r="BF35" s="49">
        <v>0</v>
      </c>
      <c r="BG35" s="152">
        <f t="shared" si="3"/>
        <v>0</v>
      </c>
      <c r="BH35" s="49">
        <v>0</v>
      </c>
      <c r="BI35" s="152">
        <f t="shared" si="107"/>
        <v>5.7112542629784001E-7</v>
      </c>
      <c r="BJ35" s="153">
        <f t="shared" si="108"/>
        <v>3.0236709499325099E-6</v>
      </c>
      <c r="BK35" s="152">
        <f t="shared" si="109"/>
        <v>1.6794240242516102E-6</v>
      </c>
      <c r="BL35" s="153">
        <f t="shared" si="110"/>
        <v>8.3194590227229447E-6</v>
      </c>
      <c r="BM35" s="152">
        <f t="shared" si="111"/>
        <v>2.297840090943539E-6</v>
      </c>
      <c r="BN35" s="153">
        <f t="shared" si="112"/>
        <v>1.164310280705033E-5</v>
      </c>
      <c r="BO35" s="152">
        <f t="shared" si="113"/>
        <v>7.1772641151951482E-6</v>
      </c>
      <c r="BP35" s="153">
        <f t="shared" si="114"/>
        <v>3.1737763725067066E-5</v>
      </c>
      <c r="BQ35" s="152">
        <f t="shared" si="115"/>
        <v>9.864342553997725E-7</v>
      </c>
      <c r="BR35" s="153">
        <f t="shared" si="116"/>
        <v>4.8816453124987796E-6</v>
      </c>
      <c r="BS35" s="152">
        <f t="shared" si="117"/>
        <v>1.2986737400530501E-6</v>
      </c>
      <c r="BT35" s="153">
        <f t="shared" si="118"/>
        <v>6.3350367238374316E-6</v>
      </c>
      <c r="BU35" s="152">
        <f t="shared" si="3"/>
        <v>9.8219022356953383E-8</v>
      </c>
      <c r="BV35" s="153">
        <f t="shared" si="24"/>
        <v>5.8843607172531583E-7</v>
      </c>
      <c r="BW35" s="161">
        <f t="shared" si="0"/>
        <v>1.4785481029057385E-5</v>
      </c>
      <c r="BX35" s="166">
        <f t="shared" si="1"/>
        <v>1.4770386770562042E-3</v>
      </c>
      <c r="BY35" s="17">
        <f t="shared" si="2"/>
        <v>1.4875984159293867E-5</v>
      </c>
      <c r="CA35" t="s">
        <v>154</v>
      </c>
      <c r="CB35" s="24">
        <f t="shared" si="25"/>
        <v>1.9999999999999999E-6</v>
      </c>
      <c r="CC35" s="97">
        <f t="shared" si="26"/>
        <v>6.0629026146267518E-4</v>
      </c>
      <c r="CD35" s="104">
        <v>0</v>
      </c>
      <c r="CE35" s="49">
        <v>0</v>
      </c>
      <c r="CF35" s="113">
        <v>0</v>
      </c>
      <c r="CG35" s="49">
        <v>0</v>
      </c>
      <c r="CH35" s="113">
        <v>0</v>
      </c>
      <c r="CI35" s="49">
        <v>0</v>
      </c>
      <c r="CJ35" s="113">
        <v>0</v>
      </c>
      <c r="CK35" s="49">
        <v>0</v>
      </c>
      <c r="CL35" s="113">
        <v>0</v>
      </c>
      <c r="CM35" s="49">
        <v>0</v>
      </c>
      <c r="CN35" s="113">
        <v>0</v>
      </c>
      <c r="CO35" s="49">
        <v>0</v>
      </c>
      <c r="CP35" s="113">
        <v>0</v>
      </c>
      <c r="CQ35" s="49">
        <v>0</v>
      </c>
      <c r="CR35" s="113">
        <v>0</v>
      </c>
      <c r="CS35" s="49">
        <v>0</v>
      </c>
      <c r="CT35" s="113">
        <v>0</v>
      </c>
      <c r="CU35" s="49">
        <v>0</v>
      </c>
      <c r="CV35" s="113">
        <v>0</v>
      </c>
      <c r="CW35" s="49">
        <v>0</v>
      </c>
      <c r="CX35" s="113">
        <v>0</v>
      </c>
      <c r="CY35" s="49">
        <v>0</v>
      </c>
      <c r="CZ35" s="113">
        <v>0</v>
      </c>
      <c r="DA35" s="49">
        <v>0</v>
      </c>
      <c r="DB35" s="113">
        <v>0</v>
      </c>
      <c r="DC35" s="49">
        <v>0</v>
      </c>
      <c r="DD35" s="113">
        <v>0</v>
      </c>
      <c r="DE35" s="49">
        <v>0</v>
      </c>
      <c r="DF35" s="113">
        <v>0</v>
      </c>
      <c r="DG35" s="49">
        <v>0</v>
      </c>
      <c r="DH35" s="113">
        <v>0</v>
      </c>
      <c r="DI35" s="49">
        <v>0</v>
      </c>
      <c r="DJ35" s="113">
        <v>0</v>
      </c>
      <c r="DK35" s="49">
        <v>0</v>
      </c>
      <c r="DL35" s="113">
        <v>0</v>
      </c>
      <c r="DM35" s="49">
        <v>0</v>
      </c>
      <c r="DN35" s="113">
        <v>0</v>
      </c>
      <c r="DO35" s="49">
        <v>0</v>
      </c>
      <c r="DP35" s="113">
        <v>0</v>
      </c>
      <c r="DQ35" s="49">
        <v>0</v>
      </c>
      <c r="DR35" s="113">
        <v>0</v>
      </c>
      <c r="DS35" s="49">
        <v>0</v>
      </c>
      <c r="DT35" s="113">
        <v>0</v>
      </c>
      <c r="DU35" s="49">
        <v>0</v>
      </c>
      <c r="DV35" s="113">
        <v>0</v>
      </c>
      <c r="DW35" s="49">
        <v>0</v>
      </c>
      <c r="DX35" s="113">
        <v>0</v>
      </c>
      <c r="DY35" s="49">
        <v>0</v>
      </c>
      <c r="DZ35" s="113">
        <v>0</v>
      </c>
      <c r="EA35" s="49">
        <v>0</v>
      </c>
      <c r="EB35" s="113">
        <v>0</v>
      </c>
      <c r="EC35" s="49">
        <v>0</v>
      </c>
      <c r="ED35" s="113">
        <v>0</v>
      </c>
      <c r="EE35" s="49">
        <v>0</v>
      </c>
    </row>
    <row r="36" spans="1:135" x14ac:dyDescent="0.35">
      <c r="A36" s="140">
        <f>12.0107*8+1.00794*10</f>
        <v>106.16499999999999</v>
      </c>
      <c r="B36" s="17">
        <v>522</v>
      </c>
      <c r="C36" s="131" t="s">
        <v>155</v>
      </c>
      <c r="D36" s="99" t="s">
        <v>203</v>
      </c>
      <c r="E36" s="114">
        <v>1.4E-5</v>
      </c>
      <c r="F36" s="49">
        <v>7.7774336247058223E-5</v>
      </c>
      <c r="G36" s="114">
        <v>1.4E-5</v>
      </c>
      <c r="H36" s="49">
        <v>7.7652510427568411E-5</v>
      </c>
      <c r="I36" s="114">
        <v>5.1E-5</v>
      </c>
      <c r="J36" s="49">
        <v>2.8079652210558868E-4</v>
      </c>
      <c r="K36" s="114">
        <v>0</v>
      </c>
      <c r="L36" s="49">
        <v>0</v>
      </c>
      <c r="M36" s="114">
        <v>1.1E-5</v>
      </c>
      <c r="N36" s="49">
        <v>6.1293468317196462E-5</v>
      </c>
      <c r="O36" s="114">
        <v>4.0000000000000003E-5</v>
      </c>
      <c r="P36" s="49">
        <v>2.0993533593178577E-4</v>
      </c>
      <c r="Q36" s="114">
        <v>3.0000000000000001E-5</v>
      </c>
      <c r="R36" s="49">
        <v>1.6032223031986842E-4</v>
      </c>
      <c r="S36" s="114">
        <v>3.0000000000000001E-5</v>
      </c>
      <c r="T36" s="49">
        <v>1.1850367298337584E-4</v>
      </c>
      <c r="U36" s="152">
        <f t="shared" si="79"/>
        <v>6.3972906403940866E-5</v>
      </c>
      <c r="V36" s="153">
        <f t="shared" si="80"/>
        <v>3.1601472511274598E-4</v>
      </c>
      <c r="W36" s="152">
        <f t="shared" si="81"/>
        <v>8.1896551724137923E-5</v>
      </c>
      <c r="X36" s="153">
        <f t="shared" si="82"/>
        <v>4.1258151616662108E-4</v>
      </c>
      <c r="Y36" s="152">
        <f t="shared" si="83"/>
        <v>7.3746494884425914E-5</v>
      </c>
      <c r="Z36" s="153">
        <f t="shared" si="84"/>
        <v>3.8356296007631402E-4</v>
      </c>
      <c r="AA36" s="152">
        <f t="shared" si="85"/>
        <v>8.7749905267146621E-5</v>
      </c>
      <c r="AB36" s="153">
        <f t="shared" si="86"/>
        <v>4.3881842027012491E-4</v>
      </c>
      <c r="AC36" s="152">
        <f t="shared" si="87"/>
        <v>3.9497536945812802E-5</v>
      </c>
      <c r="AD36" s="153">
        <f t="shared" si="88"/>
        <v>1.87799179772163E-4</v>
      </c>
      <c r="AE36" s="152">
        <f t="shared" si="89"/>
        <v>3.2744221295945426E-5</v>
      </c>
      <c r="AF36" s="153">
        <f t="shared" si="90"/>
        <v>1.7963432433192137E-4</v>
      </c>
      <c r="AG36" s="152">
        <f t="shared" si="91"/>
        <v>5.1873815839333071E-5</v>
      </c>
      <c r="AH36" s="153">
        <f t="shared" si="92"/>
        <v>2.6942233791733881E-4</v>
      </c>
      <c r="AI36" s="152">
        <f t="shared" si="93"/>
        <v>1.0788025767336111E-4</v>
      </c>
      <c r="AJ36" s="153">
        <f t="shared" si="94"/>
        <v>5.618028726196299E-4</v>
      </c>
      <c r="AK36" s="152">
        <f t="shared" si="95"/>
        <v>7.3278514588859397E-5</v>
      </c>
      <c r="AL36" s="153">
        <f t="shared" si="96"/>
        <v>3.6355975567086297E-4</v>
      </c>
      <c r="AM36" s="152">
        <f t="shared" si="97"/>
        <v>1.0761386888973095E-4</v>
      </c>
      <c r="AN36" s="153">
        <f t="shared" si="98"/>
        <v>5.4443903048335496E-4</v>
      </c>
      <c r="AO36" s="152">
        <f t="shared" si="99"/>
        <v>4.3126184160666914E-5</v>
      </c>
      <c r="AP36" s="153">
        <f t="shared" si="100"/>
        <v>2.2925450608307933E-4</v>
      </c>
      <c r="AQ36" s="152">
        <f t="shared" si="101"/>
        <v>5.6920803334596426E-5</v>
      </c>
      <c r="AR36" s="153">
        <f t="shared" si="102"/>
        <v>3.0025427296061241E-4</v>
      </c>
      <c r="AS36" s="152">
        <f t="shared" si="103"/>
        <v>2.0699128457749144E-5</v>
      </c>
      <c r="AT36" s="153">
        <f t="shared" si="104"/>
        <v>1.1275180890172345E-4</v>
      </c>
      <c r="AU36" s="152">
        <f t="shared" si="3"/>
        <v>0</v>
      </c>
      <c r="AV36" s="49">
        <v>0</v>
      </c>
      <c r="AW36" s="152">
        <f t="shared" si="105"/>
        <v>3.6113679424024241E-5</v>
      </c>
      <c r="AX36" s="153">
        <f t="shared" si="106"/>
        <v>1.9476878343566411E-4</v>
      </c>
      <c r="AY36" s="152">
        <f t="shared" si="3"/>
        <v>0</v>
      </c>
      <c r="AZ36" s="49">
        <v>0</v>
      </c>
      <c r="BA36" s="152">
        <f t="shared" si="3"/>
        <v>0</v>
      </c>
      <c r="BB36" s="49">
        <v>0</v>
      </c>
      <c r="BC36" s="152">
        <f t="shared" si="3"/>
        <v>0</v>
      </c>
      <c r="BD36" s="49">
        <v>0</v>
      </c>
      <c r="BE36" s="152">
        <f t="shared" si="3"/>
        <v>0</v>
      </c>
      <c r="BF36" s="49">
        <v>0</v>
      </c>
      <c r="BG36" s="152">
        <f t="shared" si="3"/>
        <v>0</v>
      </c>
      <c r="BH36" s="49">
        <v>0</v>
      </c>
      <c r="BI36" s="152">
        <f t="shared" si="107"/>
        <v>6.7821144372868498E-6</v>
      </c>
      <c r="BJ36" s="153">
        <f t="shared" si="108"/>
        <v>3.5906092530448552E-5</v>
      </c>
      <c r="BK36" s="152">
        <f t="shared" si="109"/>
        <v>1.9943160287987871E-5</v>
      </c>
      <c r="BL36" s="153">
        <f t="shared" si="110"/>
        <v>9.8793575894834968E-5</v>
      </c>
      <c r="BM36" s="152">
        <f t="shared" si="111"/>
        <v>2.7286851079954524E-5</v>
      </c>
      <c r="BN36" s="153">
        <f t="shared" si="112"/>
        <v>1.3826184583372265E-4</v>
      </c>
      <c r="BO36" s="152">
        <f t="shared" si="113"/>
        <v>8.523001136794239E-5</v>
      </c>
      <c r="BP36" s="153">
        <f t="shared" si="114"/>
        <v>3.7688594423517142E-4</v>
      </c>
      <c r="BQ36" s="152">
        <f t="shared" si="115"/>
        <v>1.1713906782872298E-5</v>
      </c>
      <c r="BR36" s="153">
        <f t="shared" si="116"/>
        <v>5.7969538085923E-5</v>
      </c>
      <c r="BS36" s="152">
        <f t="shared" si="117"/>
        <v>1.542175066312997E-5</v>
      </c>
      <c r="BT36" s="153">
        <f t="shared" si="118"/>
        <v>7.5228561095569508E-5</v>
      </c>
      <c r="BU36" s="152">
        <f t="shared" si="3"/>
        <v>1.1663508904888213E-6</v>
      </c>
      <c r="BV36" s="153">
        <f t="shared" si="24"/>
        <v>6.9876783517381239E-6</v>
      </c>
      <c r="BW36" s="161">
        <f t="shared" si="0"/>
        <v>1.7917073731891445E-4</v>
      </c>
      <c r="BX36" s="166">
        <f t="shared" si="1"/>
        <v>1.7898782481044904E-2</v>
      </c>
      <c r="BY36" s="17">
        <f t="shared" si="2"/>
        <v>1.6482344150332896E-4</v>
      </c>
      <c r="CA36" t="s">
        <v>203</v>
      </c>
      <c r="CB36" s="24">
        <f t="shared" si="25"/>
        <v>2.3749999999999998E-5</v>
      </c>
      <c r="CC36" s="97">
        <f t="shared" si="26"/>
        <v>7.1996968548692676E-3</v>
      </c>
      <c r="CD36" s="104">
        <v>0</v>
      </c>
      <c r="CE36" s="49">
        <v>0</v>
      </c>
      <c r="CF36" s="113">
        <v>0</v>
      </c>
      <c r="CG36" s="49">
        <v>0</v>
      </c>
      <c r="CH36" s="113">
        <v>0</v>
      </c>
      <c r="CI36" s="49">
        <v>0</v>
      </c>
      <c r="CJ36" s="113">
        <v>0</v>
      </c>
      <c r="CK36" s="49">
        <v>0</v>
      </c>
      <c r="CL36" s="113">
        <v>0</v>
      </c>
      <c r="CM36" s="49">
        <v>0</v>
      </c>
      <c r="CN36" s="113">
        <v>0</v>
      </c>
      <c r="CO36" s="49">
        <v>0</v>
      </c>
      <c r="CP36" s="113">
        <v>0</v>
      </c>
      <c r="CQ36" s="49">
        <v>0</v>
      </c>
      <c r="CR36" s="113">
        <v>0</v>
      </c>
      <c r="CS36" s="49">
        <v>0</v>
      </c>
      <c r="CT36" s="113">
        <v>0</v>
      </c>
      <c r="CU36" s="49">
        <v>0</v>
      </c>
      <c r="CV36" s="113">
        <v>0</v>
      </c>
      <c r="CW36" s="49">
        <v>0</v>
      </c>
      <c r="CX36" s="113">
        <v>0</v>
      </c>
      <c r="CY36" s="49">
        <v>0</v>
      </c>
      <c r="CZ36" s="113">
        <v>0</v>
      </c>
      <c r="DA36" s="49">
        <v>0</v>
      </c>
      <c r="DB36" s="113">
        <v>0</v>
      </c>
      <c r="DC36" s="49">
        <v>0</v>
      </c>
      <c r="DD36" s="113">
        <v>0</v>
      </c>
      <c r="DE36" s="49">
        <v>0</v>
      </c>
      <c r="DF36" s="113">
        <v>0</v>
      </c>
      <c r="DG36" s="49">
        <v>0</v>
      </c>
      <c r="DH36" s="113">
        <v>0</v>
      </c>
      <c r="DI36" s="49">
        <v>0</v>
      </c>
      <c r="DJ36" s="113">
        <v>0</v>
      </c>
      <c r="DK36" s="49">
        <v>0</v>
      </c>
      <c r="DL36" s="113">
        <v>0</v>
      </c>
      <c r="DM36" s="49">
        <v>0</v>
      </c>
      <c r="DN36" s="113">
        <v>0</v>
      </c>
      <c r="DO36" s="49">
        <v>0</v>
      </c>
      <c r="DP36" s="113">
        <v>0</v>
      </c>
      <c r="DQ36" s="49">
        <v>0</v>
      </c>
      <c r="DR36" s="113">
        <v>0</v>
      </c>
      <c r="DS36" s="49">
        <v>0</v>
      </c>
      <c r="DT36" s="113">
        <v>0</v>
      </c>
      <c r="DU36" s="49">
        <v>0</v>
      </c>
      <c r="DV36" s="113">
        <v>0</v>
      </c>
      <c r="DW36" s="49">
        <v>0</v>
      </c>
      <c r="DX36" s="113">
        <v>0</v>
      </c>
      <c r="DY36" s="49">
        <v>0</v>
      </c>
      <c r="DZ36" s="113">
        <v>0</v>
      </c>
      <c r="EA36" s="49">
        <v>0</v>
      </c>
      <c r="EB36" s="113">
        <v>0</v>
      </c>
      <c r="EC36" s="49">
        <v>0</v>
      </c>
      <c r="ED36" s="113">
        <v>0</v>
      </c>
      <c r="EE36" s="49">
        <v>0</v>
      </c>
    </row>
    <row r="37" spans="1:135" x14ac:dyDescent="0.35">
      <c r="A37" s="140">
        <f>12.0107*8+1.00794*18</f>
        <v>114.22852</v>
      </c>
      <c r="B37" s="17">
        <v>118</v>
      </c>
      <c r="C37" s="131" t="s">
        <v>146</v>
      </c>
      <c r="D37" s="99" t="s">
        <v>146</v>
      </c>
      <c r="E37" s="113">
        <v>0</v>
      </c>
      <c r="F37" s="49">
        <v>0</v>
      </c>
      <c r="G37" s="113">
        <v>0</v>
      </c>
      <c r="H37" s="49">
        <v>0</v>
      </c>
      <c r="I37" s="113">
        <v>0</v>
      </c>
      <c r="J37" s="49">
        <v>0</v>
      </c>
      <c r="K37" s="113">
        <v>0</v>
      </c>
      <c r="L37" s="49">
        <v>0</v>
      </c>
      <c r="M37" s="113">
        <v>0</v>
      </c>
      <c r="N37" s="49">
        <v>0</v>
      </c>
      <c r="O37" s="113">
        <v>0</v>
      </c>
      <c r="P37" s="49">
        <v>0</v>
      </c>
      <c r="Q37" s="113">
        <v>0</v>
      </c>
      <c r="R37" s="49">
        <v>0</v>
      </c>
      <c r="S37" s="113">
        <v>0</v>
      </c>
      <c r="T37" s="49">
        <v>0</v>
      </c>
      <c r="U37" s="152">
        <f t="shared" si="79"/>
        <v>0</v>
      </c>
      <c r="V37" s="153">
        <f t="shared" si="80"/>
        <v>0</v>
      </c>
      <c r="W37" s="152">
        <f t="shared" si="81"/>
        <v>0</v>
      </c>
      <c r="X37" s="153">
        <f t="shared" si="82"/>
        <v>0</v>
      </c>
      <c r="Y37" s="152">
        <f t="shared" si="83"/>
        <v>0</v>
      </c>
      <c r="Z37" s="153">
        <f t="shared" si="84"/>
        <v>0</v>
      </c>
      <c r="AA37" s="152">
        <f t="shared" si="85"/>
        <v>0</v>
      </c>
      <c r="AB37" s="153">
        <f t="shared" si="86"/>
        <v>0</v>
      </c>
      <c r="AC37" s="152">
        <f t="shared" si="87"/>
        <v>0</v>
      </c>
      <c r="AD37" s="153">
        <f t="shared" si="88"/>
        <v>0</v>
      </c>
      <c r="AE37" s="152">
        <f t="shared" si="89"/>
        <v>0</v>
      </c>
      <c r="AF37" s="153">
        <f t="shared" si="90"/>
        <v>0</v>
      </c>
      <c r="AG37" s="152">
        <f t="shared" si="91"/>
        <v>0</v>
      </c>
      <c r="AH37" s="153">
        <f t="shared" si="92"/>
        <v>0</v>
      </c>
      <c r="AI37" s="152">
        <f t="shared" si="93"/>
        <v>0</v>
      </c>
      <c r="AJ37" s="153">
        <f t="shared" si="94"/>
        <v>0</v>
      </c>
      <c r="AK37" s="152">
        <f t="shared" si="95"/>
        <v>0</v>
      </c>
      <c r="AL37" s="153">
        <f t="shared" si="96"/>
        <v>0</v>
      </c>
      <c r="AM37" s="152">
        <f t="shared" si="97"/>
        <v>0</v>
      </c>
      <c r="AN37" s="153">
        <f t="shared" si="98"/>
        <v>0</v>
      </c>
      <c r="AO37" s="152">
        <f t="shared" si="99"/>
        <v>0</v>
      </c>
      <c r="AP37" s="153">
        <f t="shared" si="100"/>
        <v>0</v>
      </c>
      <c r="AQ37" s="152">
        <f t="shared" si="101"/>
        <v>0</v>
      </c>
      <c r="AR37" s="153">
        <f t="shared" si="102"/>
        <v>0</v>
      </c>
      <c r="AS37" s="152">
        <f t="shared" si="103"/>
        <v>0</v>
      </c>
      <c r="AT37" s="153">
        <f t="shared" si="104"/>
        <v>0</v>
      </c>
      <c r="AU37" s="152">
        <f t="shared" si="3"/>
        <v>0</v>
      </c>
      <c r="AV37" s="49">
        <v>0</v>
      </c>
      <c r="AW37" s="152">
        <f t="shared" si="105"/>
        <v>0</v>
      </c>
      <c r="AX37" s="153">
        <f t="shared" si="106"/>
        <v>0</v>
      </c>
      <c r="AY37" s="152">
        <f t="shared" si="3"/>
        <v>0</v>
      </c>
      <c r="AZ37" s="49">
        <v>0</v>
      </c>
      <c r="BA37" s="152">
        <f t="shared" si="3"/>
        <v>0</v>
      </c>
      <c r="BB37" s="49">
        <v>0</v>
      </c>
      <c r="BC37" s="152">
        <f t="shared" si="3"/>
        <v>0</v>
      </c>
      <c r="BD37" s="49">
        <v>0</v>
      </c>
      <c r="BE37" s="152">
        <f t="shared" si="3"/>
        <v>0</v>
      </c>
      <c r="BF37" s="49">
        <v>0</v>
      </c>
      <c r="BG37" s="152">
        <f t="shared" si="3"/>
        <v>0</v>
      </c>
      <c r="BH37" s="49">
        <v>0</v>
      </c>
      <c r="BI37" s="152">
        <f t="shared" si="107"/>
        <v>0</v>
      </c>
      <c r="BJ37" s="153">
        <f t="shared" si="108"/>
        <v>0</v>
      </c>
      <c r="BK37" s="152">
        <f t="shared" si="109"/>
        <v>0</v>
      </c>
      <c r="BL37" s="153">
        <f t="shared" si="110"/>
        <v>0</v>
      </c>
      <c r="BM37" s="152">
        <f t="shared" si="111"/>
        <v>0</v>
      </c>
      <c r="BN37" s="153">
        <f t="shared" si="112"/>
        <v>0</v>
      </c>
      <c r="BO37" s="152">
        <f t="shared" si="113"/>
        <v>0</v>
      </c>
      <c r="BP37" s="153">
        <f t="shared" si="114"/>
        <v>0</v>
      </c>
      <c r="BQ37" s="152">
        <f t="shared" si="115"/>
        <v>0</v>
      </c>
      <c r="BR37" s="153">
        <f t="shared" si="116"/>
        <v>0</v>
      </c>
      <c r="BS37" s="152">
        <f t="shared" si="117"/>
        <v>0</v>
      </c>
      <c r="BT37" s="153">
        <f t="shared" si="118"/>
        <v>0</v>
      </c>
      <c r="BU37" s="152">
        <f t="shared" si="3"/>
        <v>0</v>
      </c>
      <c r="BV37" s="153">
        <f t="shared" si="24"/>
        <v>0</v>
      </c>
      <c r="BW37" s="161">
        <f t="shared" si="0"/>
        <v>0</v>
      </c>
      <c r="BX37" s="166">
        <f t="shared" si="1"/>
        <v>0</v>
      </c>
      <c r="BY37" s="17">
        <f t="shared" si="2"/>
        <v>0</v>
      </c>
      <c r="CA37" t="s">
        <v>146</v>
      </c>
      <c r="CB37" s="24">
        <f t="shared" si="25"/>
        <v>0</v>
      </c>
      <c r="CC37" s="97">
        <f t="shared" si="26"/>
        <v>0</v>
      </c>
      <c r="CD37" s="104">
        <v>0</v>
      </c>
      <c r="CE37" s="49">
        <v>0</v>
      </c>
      <c r="CF37" s="113">
        <v>0</v>
      </c>
      <c r="CG37" s="49">
        <v>0</v>
      </c>
      <c r="CH37" s="113">
        <v>0</v>
      </c>
      <c r="CI37" s="49">
        <v>0</v>
      </c>
      <c r="CJ37" s="113">
        <v>0</v>
      </c>
      <c r="CK37" s="49">
        <v>0</v>
      </c>
      <c r="CL37" s="113">
        <v>0</v>
      </c>
      <c r="CM37" s="49">
        <v>0</v>
      </c>
      <c r="CN37" s="113">
        <v>0</v>
      </c>
      <c r="CO37" s="49">
        <v>0</v>
      </c>
      <c r="CP37" s="113">
        <v>0</v>
      </c>
      <c r="CQ37" s="49">
        <v>0</v>
      </c>
      <c r="CR37" s="113">
        <v>0</v>
      </c>
      <c r="CS37" s="49">
        <v>0</v>
      </c>
      <c r="CT37" s="113">
        <v>0</v>
      </c>
      <c r="CU37" s="49">
        <v>0</v>
      </c>
      <c r="CV37" s="113">
        <v>0</v>
      </c>
      <c r="CW37" s="49">
        <v>0</v>
      </c>
      <c r="CX37" s="113">
        <v>0</v>
      </c>
      <c r="CY37" s="49">
        <v>0</v>
      </c>
      <c r="CZ37" s="113">
        <v>0</v>
      </c>
      <c r="DA37" s="49">
        <v>0</v>
      </c>
      <c r="DB37" s="113">
        <v>0</v>
      </c>
      <c r="DC37" s="49">
        <v>0</v>
      </c>
      <c r="DD37" s="113">
        <v>0</v>
      </c>
      <c r="DE37" s="49">
        <v>0</v>
      </c>
      <c r="DF37" s="113">
        <v>0</v>
      </c>
      <c r="DG37" s="49">
        <v>0</v>
      </c>
      <c r="DH37" s="113">
        <v>0</v>
      </c>
      <c r="DI37" s="49">
        <v>0</v>
      </c>
      <c r="DJ37" s="113">
        <v>0</v>
      </c>
      <c r="DK37" s="49">
        <v>0</v>
      </c>
      <c r="DL37" s="113">
        <v>0</v>
      </c>
      <c r="DM37" s="49">
        <v>0</v>
      </c>
      <c r="DN37" s="113">
        <v>0</v>
      </c>
      <c r="DO37" s="49">
        <v>0</v>
      </c>
      <c r="DP37" s="113">
        <v>0</v>
      </c>
      <c r="DQ37" s="49">
        <v>0</v>
      </c>
      <c r="DR37" s="113">
        <v>0</v>
      </c>
      <c r="DS37" s="49">
        <v>0</v>
      </c>
      <c r="DT37" s="113">
        <v>0</v>
      </c>
      <c r="DU37" s="49">
        <v>0</v>
      </c>
      <c r="DV37" s="113">
        <v>0</v>
      </c>
      <c r="DW37" s="49">
        <v>0</v>
      </c>
      <c r="DX37" s="113">
        <v>0</v>
      </c>
      <c r="DY37" s="49">
        <v>0</v>
      </c>
      <c r="DZ37" s="113">
        <v>0</v>
      </c>
      <c r="EA37" s="49">
        <v>0</v>
      </c>
      <c r="EB37" s="113">
        <v>0</v>
      </c>
      <c r="EC37" s="49">
        <v>0</v>
      </c>
      <c r="ED37" s="113">
        <v>0</v>
      </c>
      <c r="EE37" s="49">
        <v>0</v>
      </c>
    </row>
    <row r="38" spans="1:135" ht="15" thickBot="1" x14ac:dyDescent="0.4">
      <c r="C38" s="131"/>
      <c r="D38" s="100" t="s">
        <v>163</v>
      </c>
      <c r="E38" s="150">
        <v>1.0000000000000002</v>
      </c>
      <c r="F38" s="151">
        <v>0.99999999999999989</v>
      </c>
      <c r="G38" s="150">
        <v>0.99999999999999989</v>
      </c>
      <c r="H38" s="151">
        <v>1.0000000000000002</v>
      </c>
      <c r="I38" s="150">
        <v>0.99999999999999978</v>
      </c>
      <c r="J38" s="151">
        <v>0.99999999999999989</v>
      </c>
      <c r="K38" s="150">
        <v>1.0000000000000002</v>
      </c>
      <c r="L38" s="151">
        <v>1.0000000000000002</v>
      </c>
      <c r="M38" s="150">
        <v>0.99999999999999989</v>
      </c>
      <c r="N38" s="151">
        <v>0.99999999999999989</v>
      </c>
      <c r="O38" s="150">
        <v>1</v>
      </c>
      <c r="P38" s="151">
        <v>1.0000000000000002</v>
      </c>
      <c r="Q38" s="150">
        <v>1.0000000000000002</v>
      </c>
      <c r="R38" s="151">
        <v>0.99999999999999978</v>
      </c>
      <c r="S38" s="150">
        <v>0.99999000000000005</v>
      </c>
      <c r="T38" s="151">
        <v>1.0000000000000002</v>
      </c>
      <c r="U38" s="150">
        <v>0.99999999999999978</v>
      </c>
      <c r="V38" s="151">
        <v>1</v>
      </c>
      <c r="W38" s="150">
        <v>0.99999999999999978</v>
      </c>
      <c r="X38" s="151">
        <v>0.99999999999999989</v>
      </c>
      <c r="Y38" s="150">
        <v>1</v>
      </c>
      <c r="Z38" s="151">
        <v>1.0000000000000002</v>
      </c>
      <c r="AA38" s="150">
        <v>1</v>
      </c>
      <c r="AB38" s="151">
        <v>1</v>
      </c>
      <c r="AC38" s="150">
        <v>1.0000000000000002</v>
      </c>
      <c r="AD38" s="151">
        <v>0.99999999999999989</v>
      </c>
      <c r="AE38" s="150">
        <v>1</v>
      </c>
      <c r="AF38" s="151">
        <v>1</v>
      </c>
      <c r="AG38" s="150">
        <v>1</v>
      </c>
      <c r="AH38" s="151">
        <v>1</v>
      </c>
      <c r="AI38" s="150">
        <v>0.99999999999999989</v>
      </c>
      <c r="AJ38" s="151">
        <v>1</v>
      </c>
      <c r="AK38" s="150">
        <v>1</v>
      </c>
      <c r="AL38" s="151">
        <v>0.99999999999999989</v>
      </c>
      <c r="AM38" s="150">
        <v>1</v>
      </c>
      <c r="AN38" s="151">
        <v>1</v>
      </c>
      <c r="AO38" s="150">
        <v>1</v>
      </c>
      <c r="AP38" s="151">
        <v>1</v>
      </c>
      <c r="AQ38" s="150">
        <v>0.99999999999999989</v>
      </c>
      <c r="AR38" s="151">
        <v>1</v>
      </c>
      <c r="AS38" s="150">
        <v>0.99999999999999989</v>
      </c>
      <c r="AT38" s="151">
        <v>0.99999999999999978</v>
      </c>
      <c r="AU38" s="150">
        <v>1</v>
      </c>
      <c r="AV38" s="151">
        <v>1</v>
      </c>
      <c r="AW38" s="150">
        <v>1</v>
      </c>
      <c r="AX38" s="151">
        <v>1.0000000000000002</v>
      </c>
      <c r="AY38" s="150">
        <v>1</v>
      </c>
      <c r="AZ38" s="151">
        <v>1</v>
      </c>
      <c r="BA38" s="150">
        <v>1</v>
      </c>
      <c r="BB38" s="151">
        <v>0.99999999999999989</v>
      </c>
      <c r="BC38" s="150">
        <v>1</v>
      </c>
      <c r="BD38" s="151">
        <v>1.0000000000000002</v>
      </c>
      <c r="BE38" s="150">
        <v>1</v>
      </c>
      <c r="BF38" s="151">
        <v>1</v>
      </c>
      <c r="BG38" s="150">
        <v>1</v>
      </c>
      <c r="BH38" s="151">
        <v>1.0000000000000002</v>
      </c>
      <c r="BI38" s="150">
        <v>1</v>
      </c>
      <c r="BJ38" s="151">
        <v>0.99999999999999978</v>
      </c>
      <c r="BK38" s="150">
        <v>1</v>
      </c>
      <c r="BL38" s="151">
        <v>0.99999999999999978</v>
      </c>
      <c r="BM38" s="150">
        <v>1</v>
      </c>
      <c r="BN38" s="151">
        <v>1.0000000000000002</v>
      </c>
      <c r="BO38" s="150">
        <v>1</v>
      </c>
      <c r="BP38" s="151">
        <v>0.99999999999999989</v>
      </c>
      <c r="BQ38" s="150">
        <v>1</v>
      </c>
      <c r="BR38" s="151">
        <v>1</v>
      </c>
      <c r="BS38" s="150">
        <v>1</v>
      </c>
      <c r="BT38" s="151">
        <v>1.0000000000000002</v>
      </c>
      <c r="BU38" s="150">
        <v>1</v>
      </c>
      <c r="BV38" s="151">
        <v>0.99999999999999989</v>
      </c>
      <c r="BW38" s="374">
        <f>SUM(BW20:BW37)</f>
        <v>1.0010219270984444</v>
      </c>
      <c r="BX38" s="162"/>
      <c r="CA38" t="s">
        <v>495</v>
      </c>
      <c r="CB38" s="24">
        <f>SUM(CB27:CB37)</f>
        <v>3.29875E-3</v>
      </c>
      <c r="CD38" s="63">
        <v>0.99999999999999978</v>
      </c>
      <c r="CE38" s="62">
        <v>1</v>
      </c>
      <c r="CF38" s="63">
        <v>0.99999999999999978</v>
      </c>
      <c r="CG38" s="62">
        <v>0.99999999999999989</v>
      </c>
      <c r="CH38" s="63">
        <v>1</v>
      </c>
      <c r="CI38" s="62">
        <v>1.0000000000000002</v>
      </c>
      <c r="CJ38" s="63">
        <v>1</v>
      </c>
      <c r="CK38" s="62">
        <v>1</v>
      </c>
      <c r="CL38" s="63">
        <v>1.0000000000000002</v>
      </c>
      <c r="CM38" s="62">
        <v>0.99999999999999989</v>
      </c>
      <c r="CN38" s="63">
        <v>1</v>
      </c>
      <c r="CO38" s="62">
        <v>1</v>
      </c>
      <c r="CP38" s="63">
        <v>1</v>
      </c>
      <c r="CQ38" s="62">
        <v>1</v>
      </c>
      <c r="CR38" s="63">
        <v>0.99999999999999989</v>
      </c>
      <c r="CS38" s="62">
        <v>1</v>
      </c>
      <c r="CT38" s="63">
        <v>1</v>
      </c>
      <c r="CU38" s="62">
        <v>0.99999999999999989</v>
      </c>
      <c r="CV38" s="63">
        <v>1</v>
      </c>
      <c r="CW38" s="62">
        <v>1</v>
      </c>
      <c r="CX38" s="63">
        <v>1</v>
      </c>
      <c r="CY38" s="62">
        <v>1</v>
      </c>
      <c r="CZ38" s="63">
        <v>0.99999999999999989</v>
      </c>
      <c r="DA38" s="62">
        <v>1</v>
      </c>
      <c r="DB38" s="63">
        <v>0.99999999999999989</v>
      </c>
      <c r="DC38" s="62">
        <v>0.99999999999999978</v>
      </c>
      <c r="DD38" s="63">
        <v>1</v>
      </c>
      <c r="DE38" s="62">
        <v>1</v>
      </c>
      <c r="DF38" s="63">
        <v>1</v>
      </c>
      <c r="DG38" s="62">
        <v>1.0000000000000002</v>
      </c>
      <c r="DH38" s="63">
        <v>1</v>
      </c>
      <c r="DI38" s="62">
        <v>1</v>
      </c>
      <c r="DJ38" s="63">
        <v>1</v>
      </c>
      <c r="DK38" s="62">
        <v>0.99999999999999989</v>
      </c>
      <c r="DL38" s="63">
        <v>1</v>
      </c>
      <c r="DM38" s="62">
        <v>1.0000000000000002</v>
      </c>
      <c r="DN38" s="63">
        <v>1</v>
      </c>
      <c r="DO38" s="62">
        <v>1</v>
      </c>
      <c r="DP38" s="63">
        <v>1</v>
      </c>
      <c r="DQ38" s="62">
        <v>1.0000000000000002</v>
      </c>
      <c r="DR38" s="63">
        <v>1</v>
      </c>
      <c r="DS38" s="62">
        <v>0.99999999999999978</v>
      </c>
      <c r="DT38" s="63">
        <v>1</v>
      </c>
      <c r="DU38" s="62">
        <v>0.99999999999999978</v>
      </c>
      <c r="DV38" s="63">
        <v>1</v>
      </c>
      <c r="DW38" s="62">
        <v>1.0000000000000002</v>
      </c>
      <c r="DX38" s="63">
        <v>1</v>
      </c>
      <c r="DY38" s="62">
        <v>0.99999999999999989</v>
      </c>
      <c r="DZ38" s="63">
        <v>1</v>
      </c>
      <c r="EA38" s="62">
        <v>1</v>
      </c>
      <c r="EB38" s="63">
        <v>1</v>
      </c>
      <c r="EC38" s="62">
        <v>1.0000000000000002</v>
      </c>
      <c r="ED38" s="63">
        <v>1</v>
      </c>
      <c r="EE38" s="62">
        <v>0.99999999999999989</v>
      </c>
    </row>
    <row r="39" spans="1:135" ht="27" thickBot="1" x14ac:dyDescent="0.4">
      <c r="C39" s="131"/>
      <c r="D39" s="28" t="s">
        <v>164</v>
      </c>
      <c r="E39" s="66">
        <v>3.9070999999999995E-2</v>
      </c>
      <c r="F39" s="67">
        <v>0.10502928232329267</v>
      </c>
      <c r="G39" s="66">
        <v>3.9464999999999993E-2</v>
      </c>
      <c r="H39" s="67">
        <v>0.10646288189335727</v>
      </c>
      <c r="I39" s="66">
        <v>4.1771000000000003E-2</v>
      </c>
      <c r="J39" s="67">
        <v>0.11747670093143465</v>
      </c>
      <c r="K39" s="66">
        <v>2.0799000000000002E-2</v>
      </c>
      <c r="L39" s="67">
        <v>5.5512500418934276E-2</v>
      </c>
      <c r="M39" s="66">
        <v>3.8058999999999996E-2</v>
      </c>
      <c r="N39" s="67">
        <v>0.10195981946049346</v>
      </c>
      <c r="O39" s="66">
        <v>5.8670000000000007E-2</v>
      </c>
      <c r="P39" s="67">
        <v>0.15931396818252097</v>
      </c>
      <c r="Q39" s="66">
        <v>5.4473000000000008E-2</v>
      </c>
      <c r="R39" s="67">
        <v>0.14441790723132872</v>
      </c>
      <c r="S39" s="66">
        <v>0.18027000000000004</v>
      </c>
      <c r="T39" s="67">
        <v>0.34590151046560169</v>
      </c>
      <c r="U39" s="66">
        <v>9.1778333333333337E-2</v>
      </c>
      <c r="V39" s="67">
        <v>0.24247723810653055</v>
      </c>
      <c r="W39" s="66">
        <v>7.8113000000000002E-2</v>
      </c>
      <c r="X39" s="67">
        <v>0.21040961234755984</v>
      </c>
      <c r="Y39" s="66">
        <v>6.1156000000000002E-2</v>
      </c>
      <c r="Z39" s="67">
        <v>0.17244677431733843</v>
      </c>
      <c r="AA39" s="66">
        <v>8.0377000000000018E-2</v>
      </c>
      <c r="AB39" s="67">
        <v>0.22223834407880666</v>
      </c>
      <c r="AC39" s="66">
        <v>0.114539</v>
      </c>
      <c r="AD39" s="67">
        <v>0.29504056500171016</v>
      </c>
      <c r="AE39" s="66">
        <v>4.2744999999999991E-2</v>
      </c>
      <c r="AF39" s="67">
        <v>0.11757113311810929</v>
      </c>
      <c r="AG39" s="66">
        <v>6.7581000000000002E-2</v>
      </c>
      <c r="AH39" s="67">
        <v>0.1904876907009769</v>
      </c>
      <c r="AI39" s="66">
        <v>5.9123000000000009E-2</v>
      </c>
      <c r="AJ39" s="67">
        <v>0.17241135825618578</v>
      </c>
      <c r="AK39" s="66">
        <v>8.7042000000000008E-2</v>
      </c>
      <c r="AL39" s="67">
        <v>0.23552637377053454</v>
      </c>
      <c r="AM39" s="66">
        <v>7.3078999999999991E-2</v>
      </c>
      <c r="AN39" s="67">
        <v>0.21458707520685039</v>
      </c>
      <c r="AO39" s="66">
        <v>5.5818E-2</v>
      </c>
      <c r="AP39" s="67">
        <v>0.15143083918843969</v>
      </c>
      <c r="AQ39" s="66">
        <v>5.990100000000001E-2</v>
      </c>
      <c r="AR39" s="67">
        <v>0.16972585437449031</v>
      </c>
      <c r="AS39" s="66">
        <v>4.7664999999999999E-2</v>
      </c>
      <c r="AT39" s="67">
        <v>0.12456532586472611</v>
      </c>
      <c r="AU39" s="66">
        <v>2.7819999999999998E-2</v>
      </c>
      <c r="AV39" s="67">
        <v>7.3189333662891876E-2</v>
      </c>
      <c r="AW39" s="66">
        <v>5.1355999999999992E-2</v>
      </c>
      <c r="AX39" s="67">
        <v>0.14319052729607998</v>
      </c>
      <c r="AY39" s="66">
        <v>6.3659999999999993E-3</v>
      </c>
      <c r="AZ39" s="67">
        <v>1.759832530497343E-2</v>
      </c>
      <c r="BA39" s="66">
        <v>5.7099999999999998E-3</v>
      </c>
      <c r="BB39" s="67">
        <v>1.5960130271898864E-2</v>
      </c>
      <c r="BC39" s="66">
        <v>6.463E-3</v>
      </c>
      <c r="BD39" s="67">
        <v>1.7793505800895549E-2</v>
      </c>
      <c r="BE39" s="66">
        <v>7.5230000000000002E-3</v>
      </c>
      <c r="BF39" s="67">
        <v>2.0583348382438752E-2</v>
      </c>
      <c r="BG39" s="66">
        <v>7.8729999999999998E-3</v>
      </c>
      <c r="BH39" s="67">
        <v>2.1233624438373219E-2</v>
      </c>
      <c r="BI39" s="66">
        <v>6.0217000000000007E-2</v>
      </c>
      <c r="BJ39" s="67">
        <v>0.14876498662151247</v>
      </c>
      <c r="BK39" s="66">
        <v>8.8734999999999994E-2</v>
      </c>
      <c r="BL39" s="67">
        <v>0.21008045699783073</v>
      </c>
      <c r="BM39" s="66">
        <v>7.7161000000000007E-2</v>
      </c>
      <c r="BN39" s="67">
        <v>0.18912314459757548</v>
      </c>
      <c r="BO39" s="66">
        <v>0.14258699999999999</v>
      </c>
      <c r="BP39" s="67">
        <v>0.33167122013099493</v>
      </c>
      <c r="BQ39" s="66">
        <v>9.2039999999999997E-2</v>
      </c>
      <c r="BR39" s="67">
        <v>0.21739498371119592</v>
      </c>
      <c r="BS39" s="66">
        <v>9.6362000000000003E-2</v>
      </c>
      <c r="BT39" s="67">
        <v>0.22546302328615417</v>
      </c>
      <c r="BU39" s="66">
        <v>1.719E-2</v>
      </c>
      <c r="BV39" s="67">
        <v>4.7230157232223124E-2</v>
      </c>
      <c r="BW39" s="10" t="s">
        <v>30</v>
      </c>
      <c r="BX39" s="97">
        <f>100/(100-BX20-BX21)</f>
        <v>6.2597896543940337</v>
      </c>
      <c r="CD39" s="66">
        <v>9.1778333333333337E-2</v>
      </c>
      <c r="CE39" s="67">
        <v>0.24247723810653055</v>
      </c>
      <c r="CF39" s="66">
        <v>7.8113000000000002E-2</v>
      </c>
      <c r="CG39" s="67">
        <v>0.21040961234755984</v>
      </c>
      <c r="CH39" s="66">
        <v>6.1156000000000002E-2</v>
      </c>
      <c r="CI39" s="67">
        <v>0.17244677431733843</v>
      </c>
      <c r="CJ39" s="66">
        <v>8.0377000000000018E-2</v>
      </c>
      <c r="CK39" s="67">
        <v>0.22223834407880666</v>
      </c>
      <c r="CL39" s="66">
        <v>0.114539</v>
      </c>
      <c r="CM39" s="67">
        <v>0.29504056500171016</v>
      </c>
      <c r="CN39" s="66">
        <v>4.2744999999999991E-2</v>
      </c>
      <c r="CO39" s="67">
        <v>0.11757113311810929</v>
      </c>
      <c r="CP39" s="66">
        <v>6.7581000000000002E-2</v>
      </c>
      <c r="CQ39" s="67">
        <v>0.1904876907009769</v>
      </c>
      <c r="CR39" s="66">
        <v>5.9123000000000009E-2</v>
      </c>
      <c r="CS39" s="67">
        <v>0.17241135825618578</v>
      </c>
      <c r="CT39" s="66">
        <v>8.7042000000000008E-2</v>
      </c>
      <c r="CU39" s="67">
        <v>0.23552637377053454</v>
      </c>
      <c r="CV39" s="66">
        <v>7.3078999999999991E-2</v>
      </c>
      <c r="CW39" s="67">
        <v>0.21458707520685039</v>
      </c>
      <c r="CX39" s="66">
        <v>5.5818E-2</v>
      </c>
      <c r="CY39" s="67">
        <v>0.15143083918843969</v>
      </c>
      <c r="CZ39" s="66">
        <v>5.990100000000001E-2</v>
      </c>
      <c r="DA39" s="67">
        <v>0.16972585437449031</v>
      </c>
      <c r="DB39" s="66">
        <v>4.7664999999999999E-2</v>
      </c>
      <c r="DC39" s="67">
        <v>0.12456532586472611</v>
      </c>
      <c r="DD39" s="66">
        <v>2.7819999999999998E-2</v>
      </c>
      <c r="DE39" s="67">
        <v>7.3189333662891876E-2</v>
      </c>
      <c r="DF39" s="66">
        <v>5.1355999999999992E-2</v>
      </c>
      <c r="DG39" s="67">
        <v>0.14319052729607998</v>
      </c>
      <c r="DH39" s="66">
        <v>6.3659999999999993E-3</v>
      </c>
      <c r="DI39" s="67">
        <v>1.759832530497343E-2</v>
      </c>
      <c r="DJ39" s="66">
        <v>5.7099999999999998E-3</v>
      </c>
      <c r="DK39" s="67">
        <v>1.5960130271898864E-2</v>
      </c>
      <c r="DL39" s="66">
        <v>6.463E-3</v>
      </c>
      <c r="DM39" s="67">
        <v>1.7793505800895549E-2</v>
      </c>
      <c r="DN39" s="66">
        <v>7.5230000000000002E-3</v>
      </c>
      <c r="DO39" s="67">
        <v>2.0583348382438752E-2</v>
      </c>
      <c r="DP39" s="66">
        <v>7.8729999999999998E-3</v>
      </c>
      <c r="DQ39" s="67">
        <v>2.1233624438373219E-2</v>
      </c>
      <c r="DR39" s="66">
        <v>6.0217000000000007E-2</v>
      </c>
      <c r="DS39" s="67">
        <v>0.14876498662151247</v>
      </c>
      <c r="DT39" s="66">
        <v>8.8734999999999994E-2</v>
      </c>
      <c r="DU39" s="67">
        <v>0.21008045699783073</v>
      </c>
      <c r="DV39" s="66">
        <v>7.7161000000000007E-2</v>
      </c>
      <c r="DW39" s="67">
        <v>0.18912314459757548</v>
      </c>
      <c r="DX39" s="66">
        <v>0.14258699999999999</v>
      </c>
      <c r="DY39" s="67">
        <v>0.33167122013099493</v>
      </c>
      <c r="DZ39" s="66">
        <v>9.2039999999999997E-2</v>
      </c>
      <c r="EA39" s="67">
        <v>0.21739498371119592</v>
      </c>
      <c r="EB39" s="66">
        <v>9.6362000000000003E-2</v>
      </c>
      <c r="EC39" s="67">
        <v>0.22546302328615417</v>
      </c>
      <c r="ED39" s="66">
        <v>1.719E-2</v>
      </c>
      <c r="EE39" s="67">
        <v>4.7230157232223124E-2</v>
      </c>
    </row>
    <row r="40" spans="1:135" x14ac:dyDescent="0.35">
      <c r="C40" s="131"/>
      <c r="D40" s="23" t="s">
        <v>165</v>
      </c>
      <c r="E40" s="109"/>
      <c r="F40" s="69">
        <v>19.110545608240002</v>
      </c>
      <c r="G40" s="109"/>
      <c r="H40" s="69">
        <v>19.140527354699994</v>
      </c>
      <c r="I40" s="109"/>
      <c r="J40" s="69">
        <v>19.282343525480002</v>
      </c>
      <c r="K40" s="109"/>
      <c r="L40" s="69">
        <v>18.104591617299999</v>
      </c>
      <c r="M40" s="109"/>
      <c r="N40" s="69">
        <v>19.05284579356</v>
      </c>
      <c r="O40" s="109"/>
      <c r="P40" s="69">
        <v>20.228133492399994</v>
      </c>
      <c r="Q40" s="109"/>
      <c r="R40" s="69">
        <v>19.865928721460005</v>
      </c>
      <c r="S40" s="109"/>
      <c r="T40" s="69">
        <v>26.876382139199997</v>
      </c>
      <c r="U40" s="109"/>
      <c r="V40" s="69">
        <v>21.491668168156664</v>
      </c>
      <c r="W40" s="109"/>
      <c r="X40" s="69">
        <v>21.073526256280005</v>
      </c>
      <c r="Y40" s="109"/>
      <c r="Z40" s="69">
        <v>20.412024737339998</v>
      </c>
      <c r="AA40" s="109"/>
      <c r="AB40" s="69">
        <v>21.229666445980001</v>
      </c>
      <c r="AC40" s="109"/>
      <c r="AD40" s="69">
        <v>22.328404282379999</v>
      </c>
      <c r="AE40" s="109"/>
      <c r="AF40" s="69">
        <v>19.35203790708</v>
      </c>
      <c r="AG40" s="109"/>
      <c r="AH40" s="69">
        <v>20.44070918972</v>
      </c>
      <c r="AI40" s="109"/>
      <c r="AJ40" s="69">
        <v>20.386345663359997</v>
      </c>
      <c r="AK40" s="109"/>
      <c r="AL40" s="69">
        <v>21.398445179860001</v>
      </c>
      <c r="AM40" s="109"/>
      <c r="AN40" s="69">
        <v>20.9845836742</v>
      </c>
      <c r="AO40" s="109"/>
      <c r="AP40" s="69">
        <v>19.971216355319999</v>
      </c>
      <c r="AQ40" s="109"/>
      <c r="AR40" s="69">
        <v>20.126265070039999</v>
      </c>
      <c r="AS40" s="109"/>
      <c r="AT40" s="69">
        <v>19.489913236179998</v>
      </c>
      <c r="AU40" s="109"/>
      <c r="AV40" s="69">
        <v>18.378312291179999</v>
      </c>
      <c r="AW40" s="109"/>
      <c r="AX40" s="69">
        <v>19.684924393019994</v>
      </c>
      <c r="AY40" s="109"/>
      <c r="AZ40" s="69">
        <v>17.034282179979996</v>
      </c>
      <c r="BA40" s="109"/>
      <c r="BB40" s="69">
        <v>16.979083102920001</v>
      </c>
      <c r="BC40" s="109"/>
      <c r="BD40" s="69">
        <v>17.057858503899993</v>
      </c>
      <c r="BE40" s="109"/>
      <c r="BF40" s="69">
        <v>17.176150089439997</v>
      </c>
      <c r="BG40" s="109"/>
      <c r="BH40" s="69">
        <v>17.164266536679992</v>
      </c>
      <c r="BI40" s="109"/>
      <c r="BJ40" s="69">
        <v>20.052952813619999</v>
      </c>
      <c r="BK40" s="109"/>
      <c r="BL40" s="69">
        <v>21.431207371500005</v>
      </c>
      <c r="BM40" s="109"/>
      <c r="BN40" s="69">
        <v>20.952335240679997</v>
      </c>
      <c r="BO40" s="109"/>
      <c r="BP40" s="69">
        <v>24.008441533260005</v>
      </c>
      <c r="BQ40" s="109"/>
      <c r="BR40" s="69">
        <v>21.452765619079997</v>
      </c>
      <c r="BS40" s="109"/>
      <c r="BT40" s="69">
        <v>21.763677721699995</v>
      </c>
      <c r="BU40" s="109"/>
      <c r="BV40" s="69">
        <v>17.720569845339998</v>
      </c>
      <c r="CD40" s="109"/>
      <c r="CE40" s="69">
        <v>21.491668168156664</v>
      </c>
      <c r="CF40" s="109"/>
      <c r="CG40" s="69">
        <v>21.073526256280005</v>
      </c>
      <c r="CH40" s="109"/>
      <c r="CI40" s="69">
        <v>20.412024737339998</v>
      </c>
      <c r="CJ40" s="109"/>
      <c r="CK40" s="69">
        <v>21.229666445980001</v>
      </c>
      <c r="CL40" s="109"/>
      <c r="CM40" s="69">
        <v>22.328404282379999</v>
      </c>
      <c r="CN40" s="109"/>
      <c r="CO40" s="69">
        <v>19.35203790708</v>
      </c>
      <c r="CP40" s="109"/>
      <c r="CQ40" s="69">
        <v>20.44070918972</v>
      </c>
      <c r="CR40" s="109"/>
      <c r="CS40" s="69">
        <v>20.386345663359997</v>
      </c>
      <c r="CT40" s="109"/>
      <c r="CU40" s="69">
        <v>21.398445179860001</v>
      </c>
      <c r="CV40" s="109"/>
      <c r="CW40" s="69">
        <v>20.9845836742</v>
      </c>
      <c r="CX40" s="109"/>
      <c r="CY40" s="69">
        <v>19.971216355319999</v>
      </c>
      <c r="CZ40" s="109"/>
      <c r="DA40" s="69">
        <v>20.126265070039999</v>
      </c>
      <c r="DB40" s="109"/>
      <c r="DC40" s="69">
        <v>19.489913236179998</v>
      </c>
      <c r="DD40" s="109"/>
      <c r="DE40" s="69">
        <v>18.378312291179999</v>
      </c>
      <c r="DF40" s="109"/>
      <c r="DG40" s="69">
        <v>19.684924393019994</v>
      </c>
      <c r="DH40" s="109"/>
      <c r="DI40" s="69">
        <v>17.034282179979996</v>
      </c>
      <c r="DJ40" s="109"/>
      <c r="DK40" s="69">
        <v>16.979083102920001</v>
      </c>
      <c r="DL40" s="109"/>
      <c r="DM40" s="69">
        <v>17.057858503899993</v>
      </c>
      <c r="DN40" s="109"/>
      <c r="DO40" s="69">
        <v>17.176150089439997</v>
      </c>
      <c r="DP40" s="109"/>
      <c r="DQ40" s="69">
        <v>17.164266536679992</v>
      </c>
      <c r="DR40" s="109"/>
      <c r="DS40" s="69">
        <v>20.052952813619999</v>
      </c>
      <c r="DT40" s="109"/>
      <c r="DU40" s="69">
        <v>21.431207371500005</v>
      </c>
      <c r="DV40" s="109"/>
      <c r="DW40" s="69">
        <v>20.952335240679997</v>
      </c>
      <c r="DX40" s="109"/>
      <c r="DY40" s="69">
        <v>24.008441533260005</v>
      </c>
      <c r="DZ40" s="109"/>
      <c r="EA40" s="69">
        <v>21.452765619079997</v>
      </c>
      <c r="EB40" s="109"/>
      <c r="EC40" s="69">
        <v>21.763677721699995</v>
      </c>
      <c r="ED40" s="109"/>
      <c r="EE40" s="69">
        <v>17.720569845339998</v>
      </c>
    </row>
    <row r="41" spans="1:135" ht="15" thickBot="1" x14ac:dyDescent="0.4">
      <c r="C41" s="131"/>
      <c r="D41" s="27" t="s">
        <v>166</v>
      </c>
      <c r="E41" s="110"/>
      <c r="F41" s="71">
        <v>4.8627342514605605E-2</v>
      </c>
      <c r="G41" s="110"/>
      <c r="H41" s="71">
        <v>4.8703631945801511E-2</v>
      </c>
      <c r="I41" s="110"/>
      <c r="J41" s="71">
        <v>4.9064487342188302E-2</v>
      </c>
      <c r="K41" s="110"/>
      <c r="L41" s="71">
        <v>4.6067663148346052E-2</v>
      </c>
      <c r="M41" s="110"/>
      <c r="N41" s="71">
        <v>4.848052364773537E-2</v>
      </c>
      <c r="O41" s="110"/>
      <c r="P41" s="71">
        <v>5.1471077588804058E-2</v>
      </c>
      <c r="Q41" s="110"/>
      <c r="R41" s="71">
        <v>5.0549436950279913E-2</v>
      </c>
      <c r="S41" s="110"/>
      <c r="T41" s="71">
        <v>6.8387740812213729E-2</v>
      </c>
      <c r="U41" s="110"/>
      <c r="V41" s="71">
        <v>5.4686178544927896E-2</v>
      </c>
      <c r="W41" s="110"/>
      <c r="X41" s="71">
        <v>5.3622204214452934E-2</v>
      </c>
      <c r="Y41" s="110"/>
      <c r="Z41" s="71">
        <v>5.1938994242595411E-2</v>
      </c>
      <c r="AA41" s="110"/>
      <c r="AB41" s="71">
        <v>5.4019507496132317E-2</v>
      </c>
      <c r="AC41" s="110"/>
      <c r="AD41" s="71">
        <v>5.6815278072213739E-2</v>
      </c>
      <c r="AE41" s="110"/>
      <c r="AF41" s="71">
        <v>4.9241826735572515E-2</v>
      </c>
      <c r="AG41" s="110"/>
      <c r="AH41" s="71">
        <v>5.2011982671043254E-2</v>
      </c>
      <c r="AI41" s="110"/>
      <c r="AJ41" s="71">
        <v>5.187365308743002E-2</v>
      </c>
      <c r="AK41" s="110"/>
      <c r="AL41" s="71">
        <v>5.4448969923307888E-2</v>
      </c>
      <c r="AM41" s="110"/>
      <c r="AN41" s="71">
        <v>5.339588721170483E-2</v>
      </c>
      <c r="AO41" s="110"/>
      <c r="AP41" s="71">
        <v>5.0817344415572514E-2</v>
      </c>
      <c r="AQ41" s="110"/>
      <c r="AR41" s="71">
        <v>5.121187040722646E-2</v>
      </c>
      <c r="AS41" s="110"/>
      <c r="AT41" s="71">
        <v>4.959265454498727E-2</v>
      </c>
      <c r="AU41" s="110"/>
      <c r="AV41" s="71">
        <v>4.6764153412671754E-2</v>
      </c>
      <c r="AW41" s="110"/>
      <c r="AX41" s="71">
        <v>5.0088866139999987E-2</v>
      </c>
      <c r="AY41" s="110"/>
      <c r="AZ41" s="71">
        <v>4.3344229465597954E-2</v>
      </c>
      <c r="BA41" s="110"/>
      <c r="BB41" s="71">
        <v>4.3203773798778627E-2</v>
      </c>
      <c r="BC41" s="110"/>
      <c r="BD41" s="71">
        <v>4.3404220111704819E-2</v>
      </c>
      <c r="BE41" s="110"/>
      <c r="BF41" s="71">
        <v>4.3705216512569964E-2</v>
      </c>
      <c r="BG41" s="110"/>
      <c r="BH41" s="71">
        <v>4.3674978464834584E-2</v>
      </c>
      <c r="BI41" s="110"/>
      <c r="BJ41" s="71">
        <v>5.1025325225496181E-2</v>
      </c>
      <c r="BK41" s="110"/>
      <c r="BL41" s="71">
        <v>5.4532334278625964E-2</v>
      </c>
      <c r="BM41" s="110"/>
      <c r="BN41" s="71">
        <v>5.3313830128956734E-2</v>
      </c>
      <c r="BO41" s="110"/>
      <c r="BP41" s="71">
        <v>6.1090182018473292E-2</v>
      </c>
      <c r="BQ41" s="110"/>
      <c r="BR41" s="71">
        <v>5.4587189870432561E-2</v>
      </c>
      <c r="BS41" s="110"/>
      <c r="BT41" s="71">
        <v>5.5378314813485992E-2</v>
      </c>
      <c r="BU41" s="110"/>
      <c r="BV41" s="71">
        <v>4.5090508512315518E-2</v>
      </c>
      <c r="BW41" s="164"/>
      <c r="BX41" s="164"/>
      <c r="CD41" s="110"/>
      <c r="CE41" s="71">
        <v>5.4686178544927896E-2</v>
      </c>
      <c r="CF41" s="110"/>
      <c r="CG41" s="71">
        <v>5.3622204214452934E-2</v>
      </c>
      <c r="CH41" s="110"/>
      <c r="CI41" s="71">
        <v>5.1938994242595411E-2</v>
      </c>
      <c r="CJ41" s="110"/>
      <c r="CK41" s="71">
        <v>5.4019507496132317E-2</v>
      </c>
      <c r="CL41" s="110"/>
      <c r="CM41" s="71">
        <v>5.6815278072213739E-2</v>
      </c>
      <c r="CN41" s="110"/>
      <c r="CO41" s="71">
        <v>4.9241826735572515E-2</v>
      </c>
      <c r="CP41" s="110"/>
      <c r="CQ41" s="71">
        <v>5.2011982671043254E-2</v>
      </c>
      <c r="CR41" s="110"/>
      <c r="CS41" s="71">
        <v>5.187365308743002E-2</v>
      </c>
      <c r="CT41" s="110"/>
      <c r="CU41" s="71">
        <v>5.4448969923307888E-2</v>
      </c>
      <c r="CV41" s="110"/>
      <c r="CW41" s="71">
        <v>5.339588721170483E-2</v>
      </c>
      <c r="CX41" s="110"/>
      <c r="CY41" s="71">
        <v>5.0817344415572514E-2</v>
      </c>
      <c r="CZ41" s="110"/>
      <c r="DA41" s="71">
        <v>5.121187040722646E-2</v>
      </c>
      <c r="DB41" s="110"/>
      <c r="DC41" s="71">
        <v>4.959265454498727E-2</v>
      </c>
      <c r="DD41" s="110"/>
      <c r="DE41" s="71">
        <v>4.6764153412671754E-2</v>
      </c>
      <c r="DF41" s="110"/>
      <c r="DG41" s="71">
        <v>5.0088866139999987E-2</v>
      </c>
      <c r="DH41" s="110"/>
      <c r="DI41" s="71">
        <v>4.3344229465597954E-2</v>
      </c>
      <c r="DJ41" s="110"/>
      <c r="DK41" s="71">
        <v>4.3203773798778627E-2</v>
      </c>
      <c r="DL41" s="110"/>
      <c r="DM41" s="71">
        <v>4.3404220111704819E-2</v>
      </c>
      <c r="DN41" s="110"/>
      <c r="DO41" s="71">
        <v>4.3705216512569964E-2</v>
      </c>
      <c r="DP41" s="110"/>
      <c r="DQ41" s="71">
        <v>4.3674978464834584E-2</v>
      </c>
      <c r="DR41" s="110"/>
      <c r="DS41" s="71">
        <v>5.1025325225496181E-2</v>
      </c>
      <c r="DT41" s="110"/>
      <c r="DU41" s="71">
        <v>5.4532334278625964E-2</v>
      </c>
      <c r="DV41" s="110"/>
      <c r="DW41" s="71">
        <v>5.3313830128956734E-2</v>
      </c>
      <c r="DX41" s="110"/>
      <c r="DY41" s="71">
        <v>6.1090182018473292E-2</v>
      </c>
      <c r="DZ41" s="110"/>
      <c r="EA41" s="71">
        <v>5.4587189870432561E-2</v>
      </c>
      <c r="EB41" s="110"/>
      <c r="EC41" s="71">
        <v>5.5378314813485992E-2</v>
      </c>
      <c r="ED41" s="110"/>
      <c r="EE41" s="71">
        <v>4.5090508512315518E-2</v>
      </c>
    </row>
    <row r="42" spans="1:135" x14ac:dyDescent="0.35">
      <c r="B42" s="17">
        <v>122</v>
      </c>
      <c r="C42" s="131" t="s">
        <v>135</v>
      </c>
      <c r="BV42" s="17"/>
    </row>
    <row r="43" spans="1:135" x14ac:dyDescent="0.35">
      <c r="B43" s="17">
        <v>136</v>
      </c>
      <c r="C43" s="131" t="s">
        <v>137</v>
      </c>
    </row>
    <row r="44" spans="1:135" ht="15" customHeight="1" x14ac:dyDescent="0.35">
      <c r="B44" s="17">
        <v>199</v>
      </c>
      <c r="C44" s="131" t="s">
        <v>138</v>
      </c>
      <c r="S44">
        <f>0.322/2</f>
        <v>0.161</v>
      </c>
    </row>
    <row r="45" spans="1:135" x14ac:dyDescent="0.35">
      <c r="B45" s="17">
        <v>248</v>
      </c>
      <c r="C45" s="131" t="s">
        <v>139</v>
      </c>
    </row>
    <row r="46" spans="1:135" ht="15" customHeight="1" x14ac:dyDescent="0.35">
      <c r="B46" s="17">
        <v>551</v>
      </c>
      <c r="C46" s="131" t="s">
        <v>141</v>
      </c>
    </row>
    <row r="47" spans="1:135" ht="15" customHeight="1" x14ac:dyDescent="0.35">
      <c r="A47" s="140">
        <v>84.159480000000002</v>
      </c>
      <c r="B47" s="17">
        <v>385</v>
      </c>
      <c r="C47" s="131" t="s">
        <v>142</v>
      </c>
    </row>
    <row r="48" spans="1:135" ht="15" customHeight="1" x14ac:dyDescent="0.35">
      <c r="B48" s="17">
        <v>194</v>
      </c>
      <c r="C48" s="131" t="s">
        <v>144</v>
      </c>
    </row>
    <row r="49" spans="1:3" ht="15" customHeight="1" x14ac:dyDescent="0.35">
      <c r="B49" s="17">
        <v>127</v>
      </c>
      <c r="C49" s="131" t="s">
        <v>132</v>
      </c>
    </row>
    <row r="50" spans="1:3" ht="15" customHeight="1" x14ac:dyDescent="0.35">
      <c r="A50" s="140">
        <v>70.132900000000006</v>
      </c>
      <c r="B50" s="17">
        <v>390</v>
      </c>
      <c r="C50" s="131" t="s">
        <v>136</v>
      </c>
    </row>
    <row r="51" spans="1:3" ht="15" customHeight="1" x14ac:dyDescent="0.35">
      <c r="B51" s="17">
        <v>245</v>
      </c>
      <c r="C51" s="131" t="s">
        <v>145</v>
      </c>
    </row>
    <row r="52" spans="1:3" ht="15" customHeight="1" x14ac:dyDescent="0.35">
      <c r="A52" s="140">
        <v>99.183758019198805</v>
      </c>
      <c r="B52" s="17">
        <v>633</v>
      </c>
      <c r="C52" s="131" t="s">
        <v>147</v>
      </c>
    </row>
    <row r="53" spans="1:3" ht="27" customHeight="1" x14ac:dyDescent="0.35">
      <c r="A53" s="140">
        <v>98.186059999999998</v>
      </c>
      <c r="B53" s="17">
        <v>550</v>
      </c>
      <c r="C53" s="131" t="s">
        <v>149</v>
      </c>
    </row>
    <row r="54" spans="1:3" ht="15.75" customHeight="1" x14ac:dyDescent="0.35">
      <c r="A54" s="140">
        <v>113.211606869465</v>
      </c>
      <c r="B54" s="17">
        <v>634</v>
      </c>
      <c r="C54" s="131" t="s">
        <v>150</v>
      </c>
    </row>
    <row r="55" spans="1:3" x14ac:dyDescent="0.35">
      <c r="A55" s="140">
        <f>12.0107*8+1.00794*10</f>
        <v>106.16499999999999</v>
      </c>
      <c r="B55" s="17">
        <v>620</v>
      </c>
      <c r="C55" s="131" t="s">
        <v>156</v>
      </c>
    </row>
    <row r="56" spans="1:3" x14ac:dyDescent="0.35">
      <c r="A56" s="140">
        <v>113.2116</v>
      </c>
      <c r="B56" s="17">
        <v>2011</v>
      </c>
      <c r="C56" s="131" t="s">
        <v>182</v>
      </c>
    </row>
    <row r="57" spans="1:3" x14ac:dyDescent="0.35">
      <c r="A57" s="140">
        <v>127.2392</v>
      </c>
      <c r="B57" s="17">
        <v>635</v>
      </c>
      <c r="C57" s="131" t="s">
        <v>158</v>
      </c>
    </row>
    <row r="58" spans="1:3" x14ac:dyDescent="0.35">
      <c r="A58" s="140">
        <v>141.266548691526</v>
      </c>
      <c r="B58" s="17">
        <v>628</v>
      </c>
      <c r="C58" s="131" t="s">
        <v>160</v>
      </c>
    </row>
    <row r="59" spans="1:3" x14ac:dyDescent="0.35">
      <c r="A59" s="140">
        <v>156.30825999999999</v>
      </c>
      <c r="B59" s="17">
        <v>505</v>
      </c>
      <c r="C59" s="132" t="s">
        <v>162</v>
      </c>
    </row>
    <row r="60" spans="1:3" x14ac:dyDescent="0.35">
      <c r="C60" s="129"/>
    </row>
    <row r="61" spans="1:3" x14ac:dyDescent="0.35">
      <c r="C61" s="129"/>
    </row>
    <row r="62" spans="1:3" x14ac:dyDescent="0.35">
      <c r="C62" s="129"/>
    </row>
    <row r="63" spans="1:3" x14ac:dyDescent="0.35">
      <c r="C63" s="129"/>
    </row>
    <row r="64" spans="1:3" x14ac:dyDescent="0.35">
      <c r="C64" s="128"/>
    </row>
    <row r="71" ht="15" customHeight="1" x14ac:dyDescent="0.35"/>
  </sheetData>
  <mergeCells count="708">
    <mergeCell ref="U2:V2"/>
    <mergeCell ref="U3:V3"/>
    <mergeCell ref="U1:V1"/>
    <mergeCell ref="AC2:AD2"/>
    <mergeCell ref="W3:X3"/>
    <mergeCell ref="Y3:Z3"/>
    <mergeCell ref="AA3:AB3"/>
    <mergeCell ref="AC3:AD3"/>
    <mergeCell ref="W1:X1"/>
    <mergeCell ref="Y1:Z1"/>
    <mergeCell ref="AA1:AB1"/>
    <mergeCell ref="AC1:AD1"/>
    <mergeCell ref="E3:F3"/>
    <mergeCell ref="AE4:AF4"/>
    <mergeCell ref="AG4:AH4"/>
    <mergeCell ref="AI4:AJ4"/>
    <mergeCell ref="AK4:AL4"/>
    <mergeCell ref="AM4:AN4"/>
    <mergeCell ref="E4:F4"/>
    <mergeCell ref="AI1:AJ1"/>
    <mergeCell ref="AK1:AL1"/>
    <mergeCell ref="AM1:AN1"/>
    <mergeCell ref="E1:F1"/>
    <mergeCell ref="AE2:AF2"/>
    <mergeCell ref="AG2:AH2"/>
    <mergeCell ref="AI2:AJ2"/>
    <mergeCell ref="AK2:AL2"/>
    <mergeCell ref="AM2:AN2"/>
    <mergeCell ref="E2:F2"/>
    <mergeCell ref="AE1:AF1"/>
    <mergeCell ref="AG1:AH1"/>
    <mergeCell ref="AE3:AF3"/>
    <mergeCell ref="AG3:AH3"/>
    <mergeCell ref="W4:X4"/>
    <mergeCell ref="Y4:Z4"/>
    <mergeCell ref="AA4:AB4"/>
    <mergeCell ref="E8:F8"/>
    <mergeCell ref="AE7:AF7"/>
    <mergeCell ref="AG7:AH7"/>
    <mergeCell ref="AI7:AJ7"/>
    <mergeCell ref="AK7:AL7"/>
    <mergeCell ref="AM7:AN7"/>
    <mergeCell ref="E7:F7"/>
    <mergeCell ref="AI5:AJ5"/>
    <mergeCell ref="AK5:AL5"/>
    <mergeCell ref="AM5:AN5"/>
    <mergeCell ref="E5:F5"/>
    <mergeCell ref="AE6:AF6"/>
    <mergeCell ref="AG6:AH6"/>
    <mergeCell ref="AI6:AJ6"/>
    <mergeCell ref="AK6:AL6"/>
    <mergeCell ref="AM6:AN6"/>
    <mergeCell ref="E6:F6"/>
    <mergeCell ref="AE5:AF5"/>
    <mergeCell ref="AG5:AH5"/>
    <mergeCell ref="W8:X8"/>
    <mergeCell ref="Y8:Z8"/>
    <mergeCell ref="AA8:AB8"/>
    <mergeCell ref="AC8:AD8"/>
    <mergeCell ref="W6:X6"/>
    <mergeCell ref="E11:F11"/>
    <mergeCell ref="AE10:AF10"/>
    <mergeCell ref="AG10:AH10"/>
    <mergeCell ref="AI10:AJ10"/>
    <mergeCell ref="AK10:AL10"/>
    <mergeCell ref="AM10:AN10"/>
    <mergeCell ref="E10:F10"/>
    <mergeCell ref="AE9:AF9"/>
    <mergeCell ref="AG9:AH9"/>
    <mergeCell ref="AI9:AJ9"/>
    <mergeCell ref="AK9:AL9"/>
    <mergeCell ref="AM9:AN9"/>
    <mergeCell ref="E9:F9"/>
    <mergeCell ref="W10:X10"/>
    <mergeCell ref="Y10:Z10"/>
    <mergeCell ref="AA10:AB10"/>
    <mergeCell ref="AC10:AD10"/>
    <mergeCell ref="W11:X11"/>
    <mergeCell ref="Y11:Z11"/>
    <mergeCell ref="AA11:AB11"/>
    <mergeCell ref="AC11:AD11"/>
    <mergeCell ref="W9:X9"/>
    <mergeCell ref="Y9:Z9"/>
    <mergeCell ref="AA9:AB9"/>
    <mergeCell ref="AO3:AP3"/>
    <mergeCell ref="G3:H3"/>
    <mergeCell ref="AQ3:AR3"/>
    <mergeCell ref="AS3:AT3"/>
    <mergeCell ref="AU3:AV3"/>
    <mergeCell ref="AW3:AX3"/>
    <mergeCell ref="AW1:AX1"/>
    <mergeCell ref="AO2:AP2"/>
    <mergeCell ref="G2:H2"/>
    <mergeCell ref="AQ2:AR2"/>
    <mergeCell ref="AS2:AT2"/>
    <mergeCell ref="AU2:AV2"/>
    <mergeCell ref="AW2:AX2"/>
    <mergeCell ref="AO1:AP1"/>
    <mergeCell ref="G1:H1"/>
    <mergeCell ref="AQ1:AR1"/>
    <mergeCell ref="AS1:AT1"/>
    <mergeCell ref="AU1:AV1"/>
    <mergeCell ref="AI3:AJ3"/>
    <mergeCell ref="AK3:AL3"/>
    <mergeCell ref="AM3:AN3"/>
    <mergeCell ref="W2:X2"/>
    <mergeCell ref="Y2:Z2"/>
    <mergeCell ref="AA2:AB2"/>
    <mergeCell ref="AO5:AP5"/>
    <mergeCell ref="G5:H5"/>
    <mergeCell ref="AQ5:AR5"/>
    <mergeCell ref="AS5:AT5"/>
    <mergeCell ref="AU5:AV5"/>
    <mergeCell ref="AW5:AX5"/>
    <mergeCell ref="AO4:AP4"/>
    <mergeCell ref="G4:H4"/>
    <mergeCell ref="AQ4:AR4"/>
    <mergeCell ref="AS4:AT4"/>
    <mergeCell ref="AU4:AV4"/>
    <mergeCell ref="AW4:AX4"/>
    <mergeCell ref="AC4:AD4"/>
    <mergeCell ref="W5:X5"/>
    <mergeCell ref="Y5:Z5"/>
    <mergeCell ref="AA5:AB5"/>
    <mergeCell ref="AC5:AD5"/>
    <mergeCell ref="U4:V4"/>
    <mergeCell ref="U5:V5"/>
    <mergeCell ref="O5:P5"/>
    <mergeCell ref="Q5:R5"/>
    <mergeCell ref="S5:T5"/>
    <mergeCell ref="Q4:R4"/>
    <mergeCell ref="S4:T4"/>
    <mergeCell ref="G7:H7"/>
    <mergeCell ref="AQ7:AR7"/>
    <mergeCell ref="AS7:AT7"/>
    <mergeCell ref="AU7:AV7"/>
    <mergeCell ref="AW7:AX7"/>
    <mergeCell ref="AO6:AP6"/>
    <mergeCell ref="G6:H6"/>
    <mergeCell ref="AQ6:AR6"/>
    <mergeCell ref="AS6:AT6"/>
    <mergeCell ref="AU6:AV6"/>
    <mergeCell ref="AW6:AX6"/>
    <mergeCell ref="Y6:Z6"/>
    <mergeCell ref="AA6:AB6"/>
    <mergeCell ref="AC6:AD6"/>
    <mergeCell ref="W7:X7"/>
    <mergeCell ref="Y7:Z7"/>
    <mergeCell ref="AA7:AB7"/>
    <mergeCell ref="AC7:AD7"/>
    <mergeCell ref="U6:V6"/>
    <mergeCell ref="U7:V7"/>
    <mergeCell ref="O6:P6"/>
    <mergeCell ref="Q6:R6"/>
    <mergeCell ref="S6:T6"/>
    <mergeCell ref="G9:H9"/>
    <mergeCell ref="AQ9:AR9"/>
    <mergeCell ref="AS9:AT9"/>
    <mergeCell ref="AU9:AV9"/>
    <mergeCell ref="AW9:AX9"/>
    <mergeCell ref="AO8:AP8"/>
    <mergeCell ref="G8:H8"/>
    <mergeCell ref="AQ8:AR8"/>
    <mergeCell ref="AS8:AT8"/>
    <mergeCell ref="AU8:AV8"/>
    <mergeCell ref="AW8:AX8"/>
    <mergeCell ref="AE8:AF8"/>
    <mergeCell ref="AG8:AH8"/>
    <mergeCell ref="AI8:AJ8"/>
    <mergeCell ref="AK8:AL8"/>
    <mergeCell ref="AM8:AN8"/>
    <mergeCell ref="AC9:AD9"/>
    <mergeCell ref="U8:V8"/>
    <mergeCell ref="U9:V9"/>
    <mergeCell ref="S8:T8"/>
    <mergeCell ref="BA1:BB1"/>
    <mergeCell ref="BC1:BD1"/>
    <mergeCell ref="AY1:AZ1"/>
    <mergeCell ref="AY2:AZ2"/>
    <mergeCell ref="AY3:AZ3"/>
    <mergeCell ref="AO11:AP11"/>
    <mergeCell ref="G11:H11"/>
    <mergeCell ref="AQ11:AR11"/>
    <mergeCell ref="AS11:AT11"/>
    <mergeCell ref="AU11:AV11"/>
    <mergeCell ref="AW11:AX11"/>
    <mergeCell ref="AO10:AP10"/>
    <mergeCell ref="G10:H10"/>
    <mergeCell ref="AQ10:AR10"/>
    <mergeCell ref="AS10:AT10"/>
    <mergeCell ref="AU10:AV10"/>
    <mergeCell ref="AW10:AX10"/>
    <mergeCell ref="AE11:AF11"/>
    <mergeCell ref="AG11:AH11"/>
    <mergeCell ref="AI11:AJ11"/>
    <mergeCell ref="AK11:AL11"/>
    <mergeCell ref="AM11:AN11"/>
    <mergeCell ref="U10:V10"/>
    <mergeCell ref="U11:V11"/>
    <mergeCell ref="BG1:BH1"/>
    <mergeCell ref="BE2:BF2"/>
    <mergeCell ref="BG2:BH2"/>
    <mergeCell ref="BE1:BF1"/>
    <mergeCell ref="BE3:BF3"/>
    <mergeCell ref="BE5:BF5"/>
    <mergeCell ref="BC10:BD10"/>
    <mergeCell ref="AY11:AZ11"/>
    <mergeCell ref="BA11:BB11"/>
    <mergeCell ref="BC11:BD11"/>
    <mergeCell ref="AY10:AZ10"/>
    <mergeCell ref="BA10:BB10"/>
    <mergeCell ref="BC6:BD6"/>
    <mergeCell ref="AY7:AZ7"/>
    <mergeCell ref="BA7:BB7"/>
    <mergeCell ref="BC7:BD7"/>
    <mergeCell ref="AY6:AZ6"/>
    <mergeCell ref="BA6:BB6"/>
    <mergeCell ref="BC4:BD4"/>
    <mergeCell ref="AY5:AZ5"/>
    <mergeCell ref="BA5:BB5"/>
    <mergeCell ref="BC5:BD5"/>
    <mergeCell ref="AY4:AZ4"/>
    <mergeCell ref="BA4:BB4"/>
    <mergeCell ref="M1:N1"/>
    <mergeCell ref="M4:N4"/>
    <mergeCell ref="M7:N7"/>
    <mergeCell ref="I7:J7"/>
    <mergeCell ref="I8:J8"/>
    <mergeCell ref="I9:J9"/>
    <mergeCell ref="I10:J10"/>
    <mergeCell ref="I11:J11"/>
    <mergeCell ref="K1:L1"/>
    <mergeCell ref="K2:L2"/>
    <mergeCell ref="K3:L3"/>
    <mergeCell ref="K4:L4"/>
    <mergeCell ref="K5:L5"/>
    <mergeCell ref="I1:J1"/>
    <mergeCell ref="I2:J2"/>
    <mergeCell ref="I3:J3"/>
    <mergeCell ref="I4:J4"/>
    <mergeCell ref="I5:J5"/>
    <mergeCell ref="I6:J6"/>
    <mergeCell ref="M10:N10"/>
    <mergeCell ref="M11:N11"/>
    <mergeCell ref="M5:N5"/>
    <mergeCell ref="M6:N6"/>
    <mergeCell ref="M2:N2"/>
    <mergeCell ref="BQ2:BR2"/>
    <mergeCell ref="BS2:BT2"/>
    <mergeCell ref="BI1:BJ1"/>
    <mergeCell ref="BK1:BL1"/>
    <mergeCell ref="BM1:BN1"/>
    <mergeCell ref="BO1:BP1"/>
    <mergeCell ref="BQ1:BR1"/>
    <mergeCell ref="BS1:BT1"/>
    <mergeCell ref="BO4:BP4"/>
    <mergeCell ref="BQ4:BR4"/>
    <mergeCell ref="BS4:BT4"/>
    <mergeCell ref="BI3:BJ3"/>
    <mergeCell ref="BK3:BL3"/>
    <mergeCell ref="BM3:BN3"/>
    <mergeCell ref="BO3:BP3"/>
    <mergeCell ref="BQ3:BR3"/>
    <mergeCell ref="BS3:BT3"/>
    <mergeCell ref="BI6:BJ6"/>
    <mergeCell ref="BK6:BL6"/>
    <mergeCell ref="BM6:BN6"/>
    <mergeCell ref="M3:N3"/>
    <mergeCell ref="K6:L6"/>
    <mergeCell ref="K7:L7"/>
    <mergeCell ref="K10:L10"/>
    <mergeCell ref="K11:L11"/>
    <mergeCell ref="BO2:BP2"/>
    <mergeCell ref="BO6:BP6"/>
    <mergeCell ref="BE7:BF7"/>
    <mergeCell ref="BG7:BH7"/>
    <mergeCell ref="BG5:BH5"/>
    <mergeCell ref="BE6:BF6"/>
    <mergeCell ref="BG6:BH6"/>
    <mergeCell ref="BG3:BH3"/>
    <mergeCell ref="BE4:BF4"/>
    <mergeCell ref="BG4:BH4"/>
    <mergeCell ref="BA3:BB3"/>
    <mergeCell ref="BC3:BD3"/>
    <mergeCell ref="BA2:BB2"/>
    <mergeCell ref="BC2:BD2"/>
    <mergeCell ref="AO9:AP9"/>
    <mergeCell ref="AO7:AP7"/>
    <mergeCell ref="BQ8:BR8"/>
    <mergeCell ref="BS8:BT8"/>
    <mergeCell ref="BI7:BJ7"/>
    <mergeCell ref="BK7:BL7"/>
    <mergeCell ref="BM7:BN7"/>
    <mergeCell ref="BO7:BP7"/>
    <mergeCell ref="BQ7:BR7"/>
    <mergeCell ref="BS7:BT7"/>
    <mergeCell ref="BI8:BJ8"/>
    <mergeCell ref="BK8:BL8"/>
    <mergeCell ref="BM8:BN8"/>
    <mergeCell ref="CT10:CU10"/>
    <mergeCell ref="CV10:CW10"/>
    <mergeCell ref="CX10:CY10"/>
    <mergeCell ref="CZ10:DA10"/>
    <mergeCell ref="DB10:DC10"/>
    <mergeCell ref="DD10:DE10"/>
    <mergeCell ref="BI9:BJ9"/>
    <mergeCell ref="BK9:BL9"/>
    <mergeCell ref="BM9:BN9"/>
    <mergeCell ref="BO9:BP9"/>
    <mergeCell ref="BQ9:BR9"/>
    <mergeCell ref="BS9:BT9"/>
    <mergeCell ref="CH9:CI9"/>
    <mergeCell ref="CJ9:CK9"/>
    <mergeCell ref="CL9:CM9"/>
    <mergeCell ref="CN9:CO9"/>
    <mergeCell ref="CV9:CW9"/>
    <mergeCell ref="CX9:CY9"/>
    <mergeCell ref="CZ9:DA9"/>
    <mergeCell ref="CD9:CE9"/>
    <mergeCell ref="CF9:CG9"/>
    <mergeCell ref="BE11:BF11"/>
    <mergeCell ref="BG11:BH11"/>
    <mergeCell ref="BE10:BF10"/>
    <mergeCell ref="BO11:BP11"/>
    <mergeCell ref="BQ11:BR11"/>
    <mergeCell ref="BS11:BT11"/>
    <mergeCell ref="BI10:BJ10"/>
    <mergeCell ref="BK10:BL10"/>
    <mergeCell ref="BM10:BN10"/>
    <mergeCell ref="BO10:BP10"/>
    <mergeCell ref="BQ10:BR10"/>
    <mergeCell ref="BS10:BT10"/>
    <mergeCell ref="BG10:BH10"/>
    <mergeCell ref="BI11:BJ11"/>
    <mergeCell ref="BK11:BL11"/>
    <mergeCell ref="BM11:BN11"/>
    <mergeCell ref="BU6:BV6"/>
    <mergeCell ref="BU7:BV7"/>
    <mergeCell ref="BU10:BV10"/>
    <mergeCell ref="O1:P1"/>
    <mergeCell ref="Q1:R1"/>
    <mergeCell ref="S1:T1"/>
    <mergeCell ref="O2:P2"/>
    <mergeCell ref="Q2:R2"/>
    <mergeCell ref="S2:T2"/>
    <mergeCell ref="BI4:BJ4"/>
    <mergeCell ref="BK4:BL4"/>
    <mergeCell ref="BM4:BN4"/>
    <mergeCell ref="BI2:BJ2"/>
    <mergeCell ref="BK2:BL2"/>
    <mergeCell ref="BM2:BN2"/>
    <mergeCell ref="BQ6:BR6"/>
    <mergeCell ref="BS6:BT6"/>
    <mergeCell ref="BI5:BJ5"/>
    <mergeCell ref="BK5:BL5"/>
    <mergeCell ref="BM5:BN5"/>
    <mergeCell ref="BO5:BP5"/>
    <mergeCell ref="BQ5:BR5"/>
    <mergeCell ref="BS5:BT5"/>
    <mergeCell ref="BO8:BP8"/>
    <mergeCell ref="BU11:BV11"/>
    <mergeCell ref="O11:P11"/>
    <mergeCell ref="Q11:R11"/>
    <mergeCell ref="S11:T11"/>
    <mergeCell ref="BU1:BV1"/>
    <mergeCell ref="BU2:BV2"/>
    <mergeCell ref="BU3:BV3"/>
    <mergeCell ref="BU4:BV4"/>
    <mergeCell ref="BU5:BV5"/>
    <mergeCell ref="O10:P10"/>
    <mergeCell ref="Q10:R10"/>
    <mergeCell ref="S10:T10"/>
    <mergeCell ref="O9:P9"/>
    <mergeCell ref="Q9:R9"/>
    <mergeCell ref="S9:T9"/>
    <mergeCell ref="O7:P7"/>
    <mergeCell ref="Q7:R7"/>
    <mergeCell ref="S7:T7"/>
    <mergeCell ref="O8:P8"/>
    <mergeCell ref="Q8:R8"/>
    <mergeCell ref="O3:P3"/>
    <mergeCell ref="Q3:R3"/>
    <mergeCell ref="S3:T3"/>
    <mergeCell ref="O4:P4"/>
    <mergeCell ref="DJ1:DK1"/>
    <mergeCell ref="DL1:DM1"/>
    <mergeCell ref="CP1:CQ1"/>
    <mergeCell ref="CR1:CS1"/>
    <mergeCell ref="CT1:CU1"/>
    <mergeCell ref="CV1:CW1"/>
    <mergeCell ref="CX1:CY1"/>
    <mergeCell ref="CZ1:DA1"/>
    <mergeCell ref="CD1:CE1"/>
    <mergeCell ref="CF1:CG1"/>
    <mergeCell ref="CH1:CI1"/>
    <mergeCell ref="CJ1:CK1"/>
    <mergeCell ref="CL1:CM1"/>
    <mergeCell ref="CN1:CO1"/>
    <mergeCell ref="CV2:CW2"/>
    <mergeCell ref="CX2:CY2"/>
    <mergeCell ref="CZ2:DA2"/>
    <mergeCell ref="DB2:DC2"/>
    <mergeCell ref="DZ1:EA1"/>
    <mergeCell ref="EB1:EC1"/>
    <mergeCell ref="ED1:EE1"/>
    <mergeCell ref="CD2:CE2"/>
    <mergeCell ref="CF2:CG2"/>
    <mergeCell ref="CH2:CI2"/>
    <mergeCell ref="CJ2:CK2"/>
    <mergeCell ref="CL2:CM2"/>
    <mergeCell ref="CN2:CO2"/>
    <mergeCell ref="CP2:CQ2"/>
    <mergeCell ref="DN1:DO1"/>
    <mergeCell ref="DP1:DQ1"/>
    <mergeCell ref="DR1:DS1"/>
    <mergeCell ref="DT1:DU1"/>
    <mergeCell ref="DV1:DW1"/>
    <mergeCell ref="DX1:DY1"/>
    <mergeCell ref="DB1:DC1"/>
    <mergeCell ref="DD1:DE1"/>
    <mergeCell ref="DF1:DG1"/>
    <mergeCell ref="DH1:DI1"/>
    <mergeCell ref="EB2:EC2"/>
    <mergeCell ref="ED2:EE2"/>
    <mergeCell ref="CD3:CE3"/>
    <mergeCell ref="CF3:CG3"/>
    <mergeCell ref="CH3:CI3"/>
    <mergeCell ref="CJ3:CK3"/>
    <mergeCell ref="CL3:CM3"/>
    <mergeCell ref="CN3:CO3"/>
    <mergeCell ref="CP3:CQ3"/>
    <mergeCell ref="CR3:CS3"/>
    <mergeCell ref="DP2:DQ2"/>
    <mergeCell ref="DR2:DS2"/>
    <mergeCell ref="DT2:DU2"/>
    <mergeCell ref="DV2:DW2"/>
    <mergeCell ref="DX2:DY2"/>
    <mergeCell ref="DZ2:EA2"/>
    <mergeCell ref="DD2:DE2"/>
    <mergeCell ref="DF2:DG2"/>
    <mergeCell ref="DH2:DI2"/>
    <mergeCell ref="DJ2:DK2"/>
    <mergeCell ref="DL2:DM2"/>
    <mergeCell ref="DN2:DO2"/>
    <mergeCell ref="CR2:CS2"/>
    <mergeCell ref="CT2:CU2"/>
    <mergeCell ref="DJ3:DK3"/>
    <mergeCell ref="DL3:DM3"/>
    <mergeCell ref="DN3:DO3"/>
    <mergeCell ref="DP3:DQ3"/>
    <mergeCell ref="CT3:CU3"/>
    <mergeCell ref="CV3:CW3"/>
    <mergeCell ref="CX3:CY3"/>
    <mergeCell ref="CZ3:DA3"/>
    <mergeCell ref="DB3:DC3"/>
    <mergeCell ref="DD3:DE3"/>
    <mergeCell ref="CV4:CW4"/>
    <mergeCell ref="CX4:CY4"/>
    <mergeCell ref="CZ4:DA4"/>
    <mergeCell ref="DB4:DC4"/>
    <mergeCell ref="DD4:DE4"/>
    <mergeCell ref="DF4:DG4"/>
    <mergeCell ref="ED3:EE3"/>
    <mergeCell ref="CD4:CE4"/>
    <mergeCell ref="CF4:CG4"/>
    <mergeCell ref="CH4:CI4"/>
    <mergeCell ref="CJ4:CK4"/>
    <mergeCell ref="CL4:CM4"/>
    <mergeCell ref="CN4:CO4"/>
    <mergeCell ref="CP4:CQ4"/>
    <mergeCell ref="CR4:CS4"/>
    <mergeCell ref="CT4:CU4"/>
    <mergeCell ref="DR3:DS3"/>
    <mergeCell ref="DT3:DU3"/>
    <mergeCell ref="DV3:DW3"/>
    <mergeCell ref="DX3:DY3"/>
    <mergeCell ref="DZ3:EA3"/>
    <mergeCell ref="EB3:EC3"/>
    <mergeCell ref="DF3:DG3"/>
    <mergeCell ref="DH3:DI3"/>
    <mergeCell ref="DT4:DU4"/>
    <mergeCell ref="DV4:DW4"/>
    <mergeCell ref="DX4:DY4"/>
    <mergeCell ref="DZ4:EA4"/>
    <mergeCell ref="EB4:EC4"/>
    <mergeCell ref="ED4:EE4"/>
    <mergeCell ref="DH4:DI4"/>
    <mergeCell ref="DJ4:DK4"/>
    <mergeCell ref="DL4:DM4"/>
    <mergeCell ref="DN4:DO4"/>
    <mergeCell ref="DP4:DQ4"/>
    <mergeCell ref="DR4:DS4"/>
    <mergeCell ref="DJ5:DK5"/>
    <mergeCell ref="DL5:DM5"/>
    <mergeCell ref="CP5:CQ5"/>
    <mergeCell ref="CR5:CS5"/>
    <mergeCell ref="CT5:CU5"/>
    <mergeCell ref="CV5:CW5"/>
    <mergeCell ref="CX5:CY5"/>
    <mergeCell ref="CZ5:DA5"/>
    <mergeCell ref="CD5:CE5"/>
    <mergeCell ref="CF5:CG5"/>
    <mergeCell ref="CH5:CI5"/>
    <mergeCell ref="CJ5:CK5"/>
    <mergeCell ref="CL5:CM5"/>
    <mergeCell ref="CN5:CO5"/>
    <mergeCell ref="CV6:CW6"/>
    <mergeCell ref="CX6:CY6"/>
    <mergeCell ref="CZ6:DA6"/>
    <mergeCell ref="DB6:DC6"/>
    <mergeCell ref="DZ5:EA5"/>
    <mergeCell ref="EB5:EC5"/>
    <mergeCell ref="ED5:EE5"/>
    <mergeCell ref="CD6:CE6"/>
    <mergeCell ref="CF6:CG6"/>
    <mergeCell ref="CH6:CI6"/>
    <mergeCell ref="CJ6:CK6"/>
    <mergeCell ref="CL6:CM6"/>
    <mergeCell ref="CN6:CO6"/>
    <mergeCell ref="CP6:CQ6"/>
    <mergeCell ref="DN5:DO5"/>
    <mergeCell ref="DP5:DQ5"/>
    <mergeCell ref="DR5:DS5"/>
    <mergeCell ref="DT5:DU5"/>
    <mergeCell ref="DV5:DW5"/>
    <mergeCell ref="DX5:DY5"/>
    <mergeCell ref="DB5:DC5"/>
    <mergeCell ref="DD5:DE5"/>
    <mergeCell ref="DF5:DG5"/>
    <mergeCell ref="DH5:DI5"/>
    <mergeCell ref="EB6:EC6"/>
    <mergeCell ref="ED6:EE6"/>
    <mergeCell ref="CD7:CE7"/>
    <mergeCell ref="CF7:CG7"/>
    <mergeCell ref="CH7:CI7"/>
    <mergeCell ref="CJ7:CK7"/>
    <mergeCell ref="CL7:CM7"/>
    <mergeCell ref="CN7:CO7"/>
    <mergeCell ref="CP7:CQ7"/>
    <mergeCell ref="CR7:CS7"/>
    <mergeCell ref="DP6:DQ6"/>
    <mergeCell ref="DR6:DS6"/>
    <mergeCell ref="DT6:DU6"/>
    <mergeCell ref="DV6:DW6"/>
    <mergeCell ref="DX6:DY6"/>
    <mergeCell ref="DZ6:EA6"/>
    <mergeCell ref="DD6:DE6"/>
    <mergeCell ref="DF6:DG6"/>
    <mergeCell ref="DH6:DI6"/>
    <mergeCell ref="DJ6:DK6"/>
    <mergeCell ref="DL6:DM6"/>
    <mergeCell ref="DN6:DO6"/>
    <mergeCell ref="CR6:CS6"/>
    <mergeCell ref="CT6:CU6"/>
    <mergeCell ref="DH7:DI7"/>
    <mergeCell ref="DJ7:DK7"/>
    <mergeCell ref="DL7:DM7"/>
    <mergeCell ref="DN7:DO7"/>
    <mergeCell ref="DP7:DQ7"/>
    <mergeCell ref="CT7:CU7"/>
    <mergeCell ref="CV7:CW7"/>
    <mergeCell ref="CX7:CY7"/>
    <mergeCell ref="CZ7:DA7"/>
    <mergeCell ref="DB7:DC7"/>
    <mergeCell ref="DD7:DE7"/>
    <mergeCell ref="EB8:EC8"/>
    <mergeCell ref="CV8:CW8"/>
    <mergeCell ref="CX8:CY8"/>
    <mergeCell ref="CZ8:DA8"/>
    <mergeCell ref="DB8:DC8"/>
    <mergeCell ref="DD8:DE8"/>
    <mergeCell ref="DF8:DG8"/>
    <mergeCell ref="ED7:EE7"/>
    <mergeCell ref="CD8:CE8"/>
    <mergeCell ref="CF8:CG8"/>
    <mergeCell ref="CH8:CI8"/>
    <mergeCell ref="CJ8:CK8"/>
    <mergeCell ref="CL8:CM8"/>
    <mergeCell ref="CN8:CO8"/>
    <mergeCell ref="CP8:CQ8"/>
    <mergeCell ref="CR8:CS8"/>
    <mergeCell ref="CT8:CU8"/>
    <mergeCell ref="DR7:DS7"/>
    <mergeCell ref="DT7:DU7"/>
    <mergeCell ref="DV7:DW7"/>
    <mergeCell ref="DX7:DY7"/>
    <mergeCell ref="DZ7:EA7"/>
    <mergeCell ref="EB7:EC7"/>
    <mergeCell ref="DF7:DG7"/>
    <mergeCell ref="DR8:DS8"/>
    <mergeCell ref="DT8:DU8"/>
    <mergeCell ref="DV8:DW8"/>
    <mergeCell ref="DX8:DY8"/>
    <mergeCell ref="DZ8:EA8"/>
    <mergeCell ref="DX9:DY9"/>
    <mergeCell ref="DZ9:EA9"/>
    <mergeCell ref="EB9:EC9"/>
    <mergeCell ref="CD10:CE10"/>
    <mergeCell ref="CF10:CG10"/>
    <mergeCell ref="CH10:CI10"/>
    <mergeCell ref="CJ10:CK10"/>
    <mergeCell ref="CL10:CM10"/>
    <mergeCell ref="CN10:CO10"/>
    <mergeCell ref="CP10:CQ10"/>
    <mergeCell ref="DB9:DC9"/>
    <mergeCell ref="DD9:DE9"/>
    <mergeCell ref="DF9:DG9"/>
    <mergeCell ref="DR9:DS9"/>
    <mergeCell ref="DT9:DU9"/>
    <mergeCell ref="DV9:DW9"/>
    <mergeCell ref="CP9:CQ9"/>
    <mergeCell ref="CR9:CS9"/>
    <mergeCell ref="CT9:CU9"/>
    <mergeCell ref="DX10:DY10"/>
    <mergeCell ref="DZ10:EA10"/>
    <mergeCell ref="EB10:EC10"/>
    <mergeCell ref="ED10:EE10"/>
    <mergeCell ref="CD11:CE11"/>
    <mergeCell ref="CF11:CG11"/>
    <mergeCell ref="CH11:CI11"/>
    <mergeCell ref="CJ11:CK11"/>
    <mergeCell ref="CL11:CM11"/>
    <mergeCell ref="CN11:CO11"/>
    <mergeCell ref="DL10:DM10"/>
    <mergeCell ref="DN10:DO10"/>
    <mergeCell ref="DP10:DQ10"/>
    <mergeCell ref="DR10:DS10"/>
    <mergeCell ref="DT10:DU10"/>
    <mergeCell ref="DV10:DW10"/>
    <mergeCell ref="DF11:DG11"/>
    <mergeCell ref="DH11:DI11"/>
    <mergeCell ref="DJ11:DK11"/>
    <mergeCell ref="CR10:CS10"/>
    <mergeCell ref="DF10:DG10"/>
    <mergeCell ref="DH10:DI10"/>
    <mergeCell ref="DJ10:DK10"/>
    <mergeCell ref="CT11:CU11"/>
    <mergeCell ref="DZ11:EA11"/>
    <mergeCell ref="EB11:EC11"/>
    <mergeCell ref="ED11:EE11"/>
    <mergeCell ref="CP11:CQ11"/>
    <mergeCell ref="CR11:CS11"/>
    <mergeCell ref="DL11:DM11"/>
    <mergeCell ref="DN11:DO11"/>
    <mergeCell ref="DP11:DQ11"/>
    <mergeCell ref="DR11:DS11"/>
    <mergeCell ref="CV11:CW11"/>
    <mergeCell ref="CX11:CY11"/>
    <mergeCell ref="CZ11:DA11"/>
    <mergeCell ref="DB11:DC11"/>
    <mergeCell ref="DD11:DE11"/>
    <mergeCell ref="CD27:CD32"/>
    <mergeCell ref="CE27:CE32"/>
    <mergeCell ref="CF27:CF32"/>
    <mergeCell ref="CG27:CG32"/>
    <mergeCell ref="CH27:CH32"/>
    <mergeCell ref="CI27:CI32"/>
    <mergeCell ref="DT11:DU11"/>
    <mergeCell ref="DV11:DW11"/>
    <mergeCell ref="DX11:DY11"/>
    <mergeCell ref="CP27:CP32"/>
    <mergeCell ref="CQ27:CQ32"/>
    <mergeCell ref="CR27:CR32"/>
    <mergeCell ref="CS27:CS32"/>
    <mergeCell ref="CT27:CT32"/>
    <mergeCell ref="CU27:CU32"/>
    <mergeCell ref="CJ27:CJ32"/>
    <mergeCell ref="CK27:CK32"/>
    <mergeCell ref="CL27:CL32"/>
    <mergeCell ref="CM27:CM32"/>
    <mergeCell ref="CN27:CN32"/>
    <mergeCell ref="CO27:CO32"/>
    <mergeCell ref="DB27:DB32"/>
    <mergeCell ref="DC27:DC32"/>
    <mergeCell ref="DD27:DD32"/>
    <mergeCell ref="DE27:DE32"/>
    <mergeCell ref="DF27:DF32"/>
    <mergeCell ref="DG27:DG32"/>
    <mergeCell ref="CV27:CV32"/>
    <mergeCell ref="CW27:CW32"/>
    <mergeCell ref="CX27:CX32"/>
    <mergeCell ref="CY27:CY32"/>
    <mergeCell ref="CZ27:CZ32"/>
    <mergeCell ref="DA27:DA32"/>
    <mergeCell ref="DN27:DN32"/>
    <mergeCell ref="DO27:DO32"/>
    <mergeCell ref="DP27:DP32"/>
    <mergeCell ref="DQ27:DQ32"/>
    <mergeCell ref="DR27:DR32"/>
    <mergeCell ref="DS27:DS32"/>
    <mergeCell ref="DH27:DH32"/>
    <mergeCell ref="DI27:DI32"/>
    <mergeCell ref="DJ27:DJ32"/>
    <mergeCell ref="DK27:DK32"/>
    <mergeCell ref="DL27:DL32"/>
    <mergeCell ref="DM27:DM32"/>
    <mergeCell ref="DZ27:DZ32"/>
    <mergeCell ref="EA27:EA32"/>
    <mergeCell ref="EB27:EB32"/>
    <mergeCell ref="EC27:EC32"/>
    <mergeCell ref="ED27:ED32"/>
    <mergeCell ref="EE27:EE32"/>
    <mergeCell ref="DT27:DT32"/>
    <mergeCell ref="DU27:DU32"/>
    <mergeCell ref="DV27:DV32"/>
    <mergeCell ref="DW27:DW32"/>
    <mergeCell ref="DX27:DX32"/>
    <mergeCell ref="DY27:DY3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P97"/>
  <sheetViews>
    <sheetView workbookViewId="0">
      <pane xSplit="2" ySplit="15" topLeftCell="AC23" activePane="bottomRight" state="frozen"/>
      <selection pane="topRight" activeCell="B1" sqref="B1"/>
      <selection pane="bottomLeft" activeCell="A16" sqref="A16"/>
      <selection pane="bottomRight" activeCell="AN2" sqref="AN2"/>
    </sheetView>
  </sheetViews>
  <sheetFormatPr defaultColWidth="9.1796875" defaultRowHeight="14.5" x14ac:dyDescent="0.35"/>
  <cols>
    <col min="1" max="1" width="9.81640625" style="17" customWidth="1"/>
    <col min="2" max="2" width="28.54296875" style="17" customWidth="1"/>
    <col min="3" max="41" width="11.453125" style="17" customWidth="1"/>
    <col min="42" max="16384" width="9.1796875" style="17"/>
  </cols>
  <sheetData>
    <row r="1" spans="1:42" x14ac:dyDescent="0.35">
      <c r="B1" s="288" t="s">
        <v>88</v>
      </c>
      <c r="C1" s="394" t="s">
        <v>418</v>
      </c>
      <c r="D1" s="395"/>
      <c r="E1" s="394" t="s">
        <v>418</v>
      </c>
      <c r="F1" s="395"/>
      <c r="G1" s="394" t="s">
        <v>417</v>
      </c>
      <c r="H1" s="395"/>
      <c r="I1" s="450" t="s">
        <v>414</v>
      </c>
      <c r="J1" s="451"/>
      <c r="K1" s="450" t="s">
        <v>416</v>
      </c>
      <c r="L1" s="451"/>
      <c r="M1" s="450" t="s">
        <v>416</v>
      </c>
      <c r="N1" s="451"/>
      <c r="O1" s="394" t="s">
        <v>414</v>
      </c>
      <c r="P1" s="395"/>
      <c r="Q1" s="394" t="s">
        <v>415</v>
      </c>
      <c r="R1" s="395"/>
      <c r="S1" s="394" t="s">
        <v>415</v>
      </c>
      <c r="T1" s="395"/>
      <c r="U1" s="394" t="s">
        <v>415</v>
      </c>
      <c r="V1" s="395"/>
      <c r="W1" s="394" t="s">
        <v>415</v>
      </c>
      <c r="X1" s="395"/>
      <c r="Y1" s="394" t="s">
        <v>415</v>
      </c>
      <c r="Z1" s="395"/>
      <c r="AA1" s="394" t="s">
        <v>414</v>
      </c>
      <c r="AB1" s="395"/>
      <c r="AC1" s="466" t="s">
        <v>414</v>
      </c>
      <c r="AD1" s="467"/>
      <c r="AE1" s="466" t="s">
        <v>90</v>
      </c>
      <c r="AF1" s="467"/>
      <c r="AG1" s="466" t="s">
        <v>90</v>
      </c>
      <c r="AH1" s="467"/>
      <c r="AI1" s="394" t="s">
        <v>413</v>
      </c>
      <c r="AJ1" s="395"/>
      <c r="AK1" s="472" t="s">
        <v>412</v>
      </c>
      <c r="AL1" s="473"/>
      <c r="AN1" s="2" t="s">
        <v>478</v>
      </c>
    </row>
    <row r="2" spans="1:42" x14ac:dyDescent="0.35">
      <c r="B2" s="353" t="s">
        <v>92</v>
      </c>
      <c r="C2" s="388" t="s">
        <v>411</v>
      </c>
      <c r="D2" s="389"/>
      <c r="E2" s="388" t="s">
        <v>411</v>
      </c>
      <c r="F2" s="389"/>
      <c r="G2" s="388" t="s">
        <v>411</v>
      </c>
      <c r="H2" s="389"/>
      <c r="I2" s="448" t="s">
        <v>411</v>
      </c>
      <c r="J2" s="449"/>
      <c r="K2" s="448" t="s">
        <v>411</v>
      </c>
      <c r="L2" s="449"/>
      <c r="M2" s="448" t="s">
        <v>411</v>
      </c>
      <c r="N2" s="449"/>
      <c r="O2" s="388" t="s">
        <v>411</v>
      </c>
      <c r="P2" s="389"/>
      <c r="Q2" s="388" t="s">
        <v>411</v>
      </c>
      <c r="R2" s="389"/>
      <c r="S2" s="388" t="s">
        <v>411</v>
      </c>
      <c r="T2" s="389"/>
      <c r="U2" s="388" t="s">
        <v>411</v>
      </c>
      <c r="V2" s="389"/>
      <c r="W2" s="388" t="s">
        <v>411</v>
      </c>
      <c r="X2" s="389"/>
      <c r="Y2" s="388" t="s">
        <v>411</v>
      </c>
      <c r="Z2" s="389"/>
      <c r="AA2" s="388" t="s">
        <v>411</v>
      </c>
      <c r="AB2" s="389"/>
      <c r="AC2" s="474" t="s">
        <v>411</v>
      </c>
      <c r="AD2" s="475"/>
      <c r="AE2" s="474" t="s">
        <v>411</v>
      </c>
      <c r="AF2" s="475"/>
      <c r="AG2" s="474" t="s">
        <v>411</v>
      </c>
      <c r="AH2" s="475"/>
      <c r="AI2" s="388" t="s">
        <v>411</v>
      </c>
      <c r="AJ2" s="389"/>
      <c r="AK2" s="468" t="s">
        <v>411</v>
      </c>
      <c r="AL2" s="469"/>
      <c r="AN2" s="2" t="s">
        <v>479</v>
      </c>
    </row>
    <row r="3" spans="1:42" x14ac:dyDescent="0.35">
      <c r="B3" s="353" t="s">
        <v>94</v>
      </c>
      <c r="C3" s="388" t="s">
        <v>409</v>
      </c>
      <c r="D3" s="389"/>
      <c r="E3" s="388" t="s">
        <v>409</v>
      </c>
      <c r="F3" s="389"/>
      <c r="G3" s="388" t="s">
        <v>409</v>
      </c>
      <c r="H3" s="389"/>
      <c r="I3" s="448" t="s">
        <v>96</v>
      </c>
      <c r="J3" s="449"/>
      <c r="K3" s="448" t="s">
        <v>409</v>
      </c>
      <c r="L3" s="449"/>
      <c r="M3" s="448" t="s">
        <v>409</v>
      </c>
      <c r="N3" s="449"/>
      <c r="O3" s="388" t="s">
        <v>410</v>
      </c>
      <c r="P3" s="389"/>
      <c r="Q3" s="462" t="s">
        <v>410</v>
      </c>
      <c r="R3" s="463"/>
      <c r="S3" s="462" t="s">
        <v>410</v>
      </c>
      <c r="T3" s="463"/>
      <c r="U3" s="462" t="s">
        <v>410</v>
      </c>
      <c r="V3" s="463"/>
      <c r="W3" s="462" t="s">
        <v>410</v>
      </c>
      <c r="X3" s="463"/>
      <c r="Y3" s="462" t="s">
        <v>410</v>
      </c>
      <c r="Z3" s="463"/>
      <c r="AA3" s="388" t="s">
        <v>96</v>
      </c>
      <c r="AB3" s="389"/>
      <c r="AC3" s="474" t="s">
        <v>96</v>
      </c>
      <c r="AD3" s="475"/>
      <c r="AE3" s="474" t="s">
        <v>410</v>
      </c>
      <c r="AF3" s="475"/>
      <c r="AG3" s="474" t="s">
        <v>410</v>
      </c>
      <c r="AH3" s="475"/>
      <c r="AI3" s="388" t="s">
        <v>409</v>
      </c>
      <c r="AJ3" s="389"/>
      <c r="AK3" s="468" t="s">
        <v>409</v>
      </c>
      <c r="AL3" s="469"/>
    </row>
    <row r="4" spans="1:42" x14ac:dyDescent="0.35">
      <c r="B4" s="352" t="s">
        <v>97</v>
      </c>
      <c r="C4" s="432" t="s">
        <v>408</v>
      </c>
      <c r="D4" s="433"/>
      <c r="E4" s="432" t="s">
        <v>407</v>
      </c>
      <c r="F4" s="433"/>
      <c r="G4" s="432" t="s">
        <v>406</v>
      </c>
      <c r="H4" s="433"/>
      <c r="I4" s="446" t="s">
        <v>347</v>
      </c>
      <c r="J4" s="447"/>
      <c r="K4" s="446" t="s">
        <v>346</v>
      </c>
      <c r="L4" s="447"/>
      <c r="M4" s="446" t="s">
        <v>345</v>
      </c>
      <c r="N4" s="447"/>
      <c r="O4" s="432" t="s">
        <v>344</v>
      </c>
      <c r="P4" s="433"/>
      <c r="Q4" s="432" t="s">
        <v>343</v>
      </c>
      <c r="R4" s="433"/>
      <c r="S4" s="432" t="s">
        <v>342</v>
      </c>
      <c r="T4" s="433"/>
      <c r="U4" s="432" t="s">
        <v>341</v>
      </c>
      <c r="V4" s="433"/>
      <c r="W4" s="432" t="s">
        <v>340</v>
      </c>
      <c r="X4" s="433"/>
      <c r="Y4" s="432" t="s">
        <v>339</v>
      </c>
      <c r="Z4" s="433"/>
      <c r="AA4" s="432" t="s">
        <v>405</v>
      </c>
      <c r="AB4" s="433"/>
      <c r="AC4" s="470" t="s">
        <v>404</v>
      </c>
      <c r="AD4" s="471"/>
      <c r="AE4" s="470" t="s">
        <v>403</v>
      </c>
      <c r="AF4" s="471"/>
      <c r="AG4" s="470" t="s">
        <v>402</v>
      </c>
      <c r="AH4" s="471"/>
      <c r="AI4" s="432" t="s">
        <v>401</v>
      </c>
      <c r="AJ4" s="433"/>
      <c r="AK4" s="468" t="s">
        <v>400</v>
      </c>
      <c r="AL4" s="469"/>
    </row>
    <row r="5" spans="1:42" ht="14.5" customHeight="1" x14ac:dyDescent="0.35">
      <c r="B5" s="353" t="s">
        <v>105</v>
      </c>
      <c r="C5" s="385" t="s">
        <v>399</v>
      </c>
      <c r="D5" s="427"/>
      <c r="E5" s="385" t="s">
        <v>398</v>
      </c>
      <c r="F5" s="427"/>
      <c r="G5" s="385" t="s">
        <v>397</v>
      </c>
      <c r="H5" s="427"/>
      <c r="I5" s="456" t="s">
        <v>396</v>
      </c>
      <c r="J5" s="457"/>
      <c r="K5" s="456" t="s">
        <v>395</v>
      </c>
      <c r="L5" s="457"/>
      <c r="M5" s="456" t="s">
        <v>394</v>
      </c>
      <c r="N5" s="457"/>
      <c r="O5" s="385" t="s">
        <v>393</v>
      </c>
      <c r="P5" s="427"/>
      <c r="Q5" s="385" t="s">
        <v>392</v>
      </c>
      <c r="R5" s="427"/>
      <c r="S5" s="385" t="s">
        <v>391</v>
      </c>
      <c r="T5" s="427"/>
      <c r="U5" s="385" t="s">
        <v>390</v>
      </c>
      <c r="V5" s="427"/>
      <c r="W5" s="385" t="s">
        <v>389</v>
      </c>
      <c r="X5" s="427"/>
      <c r="Y5" s="385" t="s">
        <v>388</v>
      </c>
      <c r="Z5" s="427"/>
      <c r="AA5" s="385" t="s">
        <v>387</v>
      </c>
      <c r="AB5" s="427"/>
      <c r="AC5" s="478" t="s">
        <v>386</v>
      </c>
      <c r="AD5" s="479"/>
      <c r="AE5" s="478" t="s">
        <v>385</v>
      </c>
      <c r="AF5" s="479"/>
      <c r="AG5" s="478" t="s">
        <v>384</v>
      </c>
      <c r="AH5" s="479"/>
      <c r="AI5" s="385" t="s">
        <v>383</v>
      </c>
      <c r="AJ5" s="427"/>
      <c r="AK5" s="468" t="s">
        <v>382</v>
      </c>
      <c r="AL5" s="469"/>
    </row>
    <row r="6" spans="1:42" ht="14.5" hidden="1" customHeight="1" x14ac:dyDescent="0.35">
      <c r="B6" s="353" t="s">
        <v>106</v>
      </c>
      <c r="C6" s="379">
        <v>72178</v>
      </c>
      <c r="D6" s="420"/>
      <c r="E6" s="379">
        <v>1004861</v>
      </c>
      <c r="F6" s="420"/>
      <c r="G6" s="379">
        <v>758013</v>
      </c>
      <c r="H6" s="420"/>
      <c r="I6" s="454">
        <v>1939781</v>
      </c>
      <c r="J6" s="455"/>
      <c r="K6" s="454">
        <v>971465</v>
      </c>
      <c r="L6" s="455"/>
      <c r="M6" s="454">
        <v>1325619</v>
      </c>
      <c r="N6" s="455"/>
      <c r="O6" s="379">
        <v>1041986</v>
      </c>
      <c r="P6" s="420"/>
      <c r="Q6" s="379">
        <v>388568</v>
      </c>
      <c r="R6" s="420"/>
      <c r="S6" s="379">
        <v>500028</v>
      </c>
      <c r="T6" s="420"/>
      <c r="U6" s="379">
        <v>552686</v>
      </c>
      <c r="V6" s="420"/>
      <c r="W6" s="379">
        <v>809447</v>
      </c>
      <c r="X6" s="420"/>
      <c r="Y6" s="379">
        <v>1499429</v>
      </c>
      <c r="Z6" s="420"/>
      <c r="AA6" s="379">
        <v>3460044</v>
      </c>
      <c r="AB6" s="420"/>
      <c r="AC6" s="480">
        <v>206679</v>
      </c>
      <c r="AD6" s="481"/>
      <c r="AE6" s="480">
        <v>1301724</v>
      </c>
      <c r="AF6" s="481"/>
      <c r="AG6" s="480">
        <v>1373869</v>
      </c>
      <c r="AH6" s="481"/>
      <c r="AI6" s="379">
        <v>53279</v>
      </c>
      <c r="AJ6" s="420"/>
      <c r="AK6" s="476">
        <v>443293</v>
      </c>
      <c r="AL6" s="477"/>
    </row>
    <row r="7" spans="1:42" ht="14.5" hidden="1" customHeight="1" x14ac:dyDescent="0.35">
      <c r="B7" s="352" t="s">
        <v>107</v>
      </c>
      <c r="C7" s="379">
        <v>332</v>
      </c>
      <c r="D7" s="420"/>
      <c r="E7" s="379">
        <v>232</v>
      </c>
      <c r="F7" s="420"/>
      <c r="G7" s="379">
        <v>342</v>
      </c>
      <c r="H7" s="420"/>
      <c r="I7" s="454">
        <v>115</v>
      </c>
      <c r="J7" s="455"/>
      <c r="K7" s="454">
        <v>332</v>
      </c>
      <c r="L7" s="455"/>
      <c r="M7" s="454">
        <v>339</v>
      </c>
      <c r="N7" s="455"/>
      <c r="O7" s="379">
        <v>365</v>
      </c>
      <c r="P7" s="420"/>
      <c r="Q7" s="379">
        <v>365</v>
      </c>
      <c r="R7" s="420"/>
      <c r="S7" s="379">
        <v>365</v>
      </c>
      <c r="T7" s="420"/>
      <c r="U7" s="379">
        <v>365</v>
      </c>
      <c r="V7" s="420"/>
      <c r="W7" s="379">
        <v>337</v>
      </c>
      <c r="X7" s="420"/>
      <c r="Y7" s="379">
        <v>334</v>
      </c>
      <c r="Z7" s="420"/>
      <c r="AA7" s="379">
        <v>263</v>
      </c>
      <c r="AB7" s="420"/>
      <c r="AC7" s="480">
        <v>208</v>
      </c>
      <c r="AD7" s="481"/>
      <c r="AE7" s="480">
        <v>365</v>
      </c>
      <c r="AF7" s="481"/>
      <c r="AG7" s="480">
        <v>365</v>
      </c>
      <c r="AH7" s="481"/>
      <c r="AI7" s="379">
        <v>142</v>
      </c>
      <c r="AJ7" s="420"/>
      <c r="AK7" s="476">
        <v>274</v>
      </c>
      <c r="AL7" s="477"/>
    </row>
    <row r="8" spans="1:42" ht="14.5" hidden="1" customHeight="1" x14ac:dyDescent="0.35">
      <c r="B8" s="352" t="s">
        <v>193</v>
      </c>
      <c r="C8" s="379">
        <v>0</v>
      </c>
      <c r="D8" s="420"/>
      <c r="E8" s="379">
        <v>0</v>
      </c>
      <c r="F8" s="420"/>
      <c r="G8" s="379">
        <v>0</v>
      </c>
      <c r="H8" s="420"/>
      <c r="I8" s="454">
        <v>432</v>
      </c>
      <c r="J8" s="455"/>
      <c r="K8" s="454">
        <v>0</v>
      </c>
      <c r="L8" s="455"/>
      <c r="M8" s="454">
        <v>0</v>
      </c>
      <c r="N8" s="455"/>
      <c r="O8" s="379">
        <v>9</v>
      </c>
      <c r="P8" s="420"/>
      <c r="Q8" s="379">
        <v>563</v>
      </c>
      <c r="R8" s="420"/>
      <c r="S8" s="379">
        <v>2567</v>
      </c>
      <c r="T8" s="420"/>
      <c r="U8" s="379">
        <v>1471</v>
      </c>
      <c r="V8" s="420"/>
      <c r="W8" s="379">
        <v>2588</v>
      </c>
      <c r="X8" s="420"/>
      <c r="Y8" s="379">
        <v>3146</v>
      </c>
      <c r="Z8" s="420"/>
      <c r="AA8" s="379">
        <v>2</v>
      </c>
      <c r="AB8" s="420"/>
      <c r="AC8" s="480">
        <v>0</v>
      </c>
      <c r="AD8" s="481"/>
      <c r="AE8" s="482">
        <v>0</v>
      </c>
      <c r="AF8" s="483"/>
      <c r="AG8" s="480">
        <v>0</v>
      </c>
      <c r="AH8" s="481"/>
      <c r="AI8" s="379">
        <v>266</v>
      </c>
      <c r="AJ8" s="420"/>
      <c r="AK8" s="476">
        <v>6112</v>
      </c>
      <c r="AL8" s="477"/>
    </row>
    <row r="9" spans="1:42" ht="14.5" hidden="1" customHeight="1" x14ac:dyDescent="0.35">
      <c r="B9" s="352" t="s">
        <v>194</v>
      </c>
      <c r="C9" s="379">
        <v>0</v>
      </c>
      <c r="D9" s="420"/>
      <c r="E9" s="379">
        <v>0</v>
      </c>
      <c r="F9" s="420"/>
      <c r="G9" s="379">
        <v>0</v>
      </c>
      <c r="H9" s="420"/>
      <c r="I9" s="454">
        <v>53</v>
      </c>
      <c r="J9" s="455"/>
      <c r="K9" s="454">
        <v>0</v>
      </c>
      <c r="L9" s="455"/>
      <c r="M9" s="454">
        <v>0</v>
      </c>
      <c r="N9" s="455"/>
      <c r="O9" s="379">
        <v>92</v>
      </c>
      <c r="P9" s="420"/>
      <c r="Q9" s="379">
        <v>365</v>
      </c>
      <c r="R9" s="420"/>
      <c r="S9" s="379">
        <v>335</v>
      </c>
      <c r="T9" s="420"/>
      <c r="U9" s="379">
        <v>335</v>
      </c>
      <c r="V9" s="420"/>
      <c r="W9" s="379">
        <v>307</v>
      </c>
      <c r="X9" s="420"/>
      <c r="Y9" s="379">
        <v>334</v>
      </c>
      <c r="Z9" s="420"/>
      <c r="AA9" s="379">
        <v>1</v>
      </c>
      <c r="AB9" s="420"/>
      <c r="AC9" s="480">
        <v>0</v>
      </c>
      <c r="AD9" s="481"/>
      <c r="AE9" s="480">
        <v>0</v>
      </c>
      <c r="AF9" s="481"/>
      <c r="AG9" s="480">
        <v>0</v>
      </c>
      <c r="AH9" s="481"/>
      <c r="AI9" s="379">
        <v>142</v>
      </c>
      <c r="AJ9" s="420"/>
      <c r="AK9" s="476">
        <v>274</v>
      </c>
      <c r="AL9" s="477"/>
    </row>
    <row r="10" spans="1:42" ht="14.5" hidden="1" customHeight="1" x14ac:dyDescent="0.35">
      <c r="B10" s="352" t="s">
        <v>381</v>
      </c>
      <c r="C10" s="379">
        <v>0</v>
      </c>
      <c r="D10" s="420"/>
      <c r="E10" s="379">
        <v>0</v>
      </c>
      <c r="F10" s="420"/>
      <c r="G10" s="379">
        <v>0</v>
      </c>
      <c r="H10" s="420"/>
      <c r="I10" s="454">
        <v>0</v>
      </c>
      <c r="J10" s="455"/>
      <c r="K10" s="454">
        <v>0</v>
      </c>
      <c r="L10" s="455"/>
      <c r="M10" s="454">
        <v>0</v>
      </c>
      <c r="N10" s="455"/>
      <c r="O10" s="379">
        <v>0</v>
      </c>
      <c r="P10" s="420"/>
      <c r="Q10" s="379">
        <v>0</v>
      </c>
      <c r="R10" s="420"/>
      <c r="S10" s="379">
        <v>0</v>
      </c>
      <c r="T10" s="420"/>
      <c r="U10" s="379">
        <v>0</v>
      </c>
      <c r="V10" s="420"/>
      <c r="W10" s="379">
        <v>0</v>
      </c>
      <c r="X10" s="420"/>
      <c r="Y10" s="379">
        <v>0</v>
      </c>
      <c r="Z10" s="420"/>
      <c r="AA10" s="379">
        <v>0</v>
      </c>
      <c r="AB10" s="420"/>
      <c r="AC10" s="480">
        <v>0</v>
      </c>
      <c r="AD10" s="481"/>
      <c r="AE10" s="480">
        <v>0</v>
      </c>
      <c r="AF10" s="481"/>
      <c r="AG10" s="480">
        <v>0</v>
      </c>
      <c r="AH10" s="481"/>
      <c r="AI10" s="379">
        <v>0</v>
      </c>
      <c r="AJ10" s="420"/>
      <c r="AK10" s="476">
        <v>0</v>
      </c>
      <c r="AL10" s="477"/>
    </row>
    <row r="11" spans="1:42" ht="14.5" hidden="1" customHeight="1" x14ac:dyDescent="0.35">
      <c r="B11" s="352" t="s">
        <v>380</v>
      </c>
      <c r="C11" s="379">
        <v>0</v>
      </c>
      <c r="D11" s="420"/>
      <c r="E11" s="379">
        <v>0</v>
      </c>
      <c r="F11" s="420"/>
      <c r="G11" s="379">
        <v>0</v>
      </c>
      <c r="H11" s="420"/>
      <c r="I11" s="454">
        <v>0</v>
      </c>
      <c r="J11" s="455"/>
      <c r="K11" s="454">
        <v>0</v>
      </c>
      <c r="L11" s="455"/>
      <c r="M11" s="454">
        <v>0</v>
      </c>
      <c r="N11" s="455"/>
      <c r="O11" s="379">
        <v>0</v>
      </c>
      <c r="P11" s="420"/>
      <c r="Q11" s="379">
        <v>0</v>
      </c>
      <c r="R11" s="420"/>
      <c r="S11" s="379">
        <v>0</v>
      </c>
      <c r="T11" s="420"/>
      <c r="U11" s="379">
        <v>0</v>
      </c>
      <c r="V11" s="420"/>
      <c r="W11" s="379">
        <v>0</v>
      </c>
      <c r="X11" s="420"/>
      <c r="Y11" s="379">
        <v>0</v>
      </c>
      <c r="Z11" s="420"/>
      <c r="AA11" s="379">
        <v>0</v>
      </c>
      <c r="AB11" s="420"/>
      <c r="AC11" s="480">
        <v>0</v>
      </c>
      <c r="AD11" s="481"/>
      <c r="AE11" s="480">
        <v>0</v>
      </c>
      <c r="AF11" s="481"/>
      <c r="AG11" s="480">
        <v>0</v>
      </c>
      <c r="AH11" s="481"/>
      <c r="AI11" s="379">
        <v>0</v>
      </c>
      <c r="AJ11" s="420"/>
      <c r="AK11" s="476">
        <v>0</v>
      </c>
      <c r="AL11" s="477"/>
    </row>
    <row r="12" spans="1:42" ht="15.75" customHeight="1" thickBot="1" x14ac:dyDescent="0.4">
      <c r="B12" s="351" t="s">
        <v>108</v>
      </c>
      <c r="C12" s="383">
        <v>41389</v>
      </c>
      <c r="D12" s="382"/>
      <c r="E12" s="383"/>
      <c r="F12" s="382"/>
      <c r="G12" s="383">
        <v>42648</v>
      </c>
      <c r="H12" s="382"/>
      <c r="I12" s="460">
        <v>43377</v>
      </c>
      <c r="J12" s="461"/>
      <c r="K12" s="460">
        <v>42628</v>
      </c>
      <c r="L12" s="461"/>
      <c r="M12" s="460">
        <v>42864</v>
      </c>
      <c r="N12" s="461"/>
      <c r="O12" s="383">
        <v>43221</v>
      </c>
      <c r="P12" s="382"/>
      <c r="Q12" s="383">
        <v>42939</v>
      </c>
      <c r="R12" s="382"/>
      <c r="S12" s="383">
        <v>43059</v>
      </c>
      <c r="T12" s="382"/>
      <c r="U12" s="383">
        <v>43014</v>
      </c>
      <c r="V12" s="382"/>
      <c r="W12" s="383">
        <v>43061</v>
      </c>
      <c r="X12" s="382"/>
      <c r="Y12" s="383">
        <v>43332</v>
      </c>
      <c r="Z12" s="382"/>
      <c r="AA12" s="383">
        <v>43230</v>
      </c>
      <c r="AB12" s="382"/>
      <c r="AC12" s="486">
        <v>43237</v>
      </c>
      <c r="AD12" s="487"/>
      <c r="AE12" s="486"/>
      <c r="AF12" s="488"/>
      <c r="AG12" s="486"/>
      <c r="AH12" s="488"/>
      <c r="AI12" s="383"/>
      <c r="AJ12" s="382"/>
      <c r="AK12" s="484">
        <v>41992</v>
      </c>
      <c r="AL12" s="485"/>
    </row>
    <row r="13" spans="1:42" ht="24.65" customHeight="1" thickBot="1" x14ac:dyDescent="0.4">
      <c r="B13" s="350"/>
      <c r="C13" s="345" t="s">
        <v>377</v>
      </c>
      <c r="D13" s="344" t="s">
        <v>379</v>
      </c>
      <c r="E13" s="345" t="s">
        <v>377</v>
      </c>
      <c r="F13" s="344" t="s">
        <v>379</v>
      </c>
      <c r="G13" s="345" t="s">
        <v>377</v>
      </c>
      <c r="H13" s="344" t="s">
        <v>379</v>
      </c>
      <c r="I13" s="349" t="s">
        <v>377</v>
      </c>
      <c r="J13" s="348" t="s">
        <v>378</v>
      </c>
      <c r="K13" s="349" t="s">
        <v>377</v>
      </c>
      <c r="L13" s="348" t="s">
        <v>378</v>
      </c>
      <c r="M13" s="349" t="s">
        <v>377</v>
      </c>
      <c r="N13" s="348" t="s">
        <v>378</v>
      </c>
      <c r="O13" s="345" t="s">
        <v>377</v>
      </c>
      <c r="P13" s="344" t="s">
        <v>378</v>
      </c>
      <c r="Q13" s="345" t="s">
        <v>377</v>
      </c>
      <c r="R13" s="344" t="s">
        <v>378</v>
      </c>
      <c r="S13" s="345" t="s">
        <v>377</v>
      </c>
      <c r="T13" s="344" t="s">
        <v>378</v>
      </c>
      <c r="U13" s="345" t="s">
        <v>377</v>
      </c>
      <c r="V13" s="344" t="s">
        <v>378</v>
      </c>
      <c r="W13" s="345" t="s">
        <v>377</v>
      </c>
      <c r="X13" s="344" t="s">
        <v>378</v>
      </c>
      <c r="Y13" s="345" t="s">
        <v>377</v>
      </c>
      <c r="Z13" s="344" t="s">
        <v>378</v>
      </c>
      <c r="AA13" s="345" t="s">
        <v>377</v>
      </c>
      <c r="AB13" s="344" t="s">
        <v>376</v>
      </c>
      <c r="AC13" s="345" t="s">
        <v>377</v>
      </c>
      <c r="AD13" s="347" t="s">
        <v>376</v>
      </c>
      <c r="AE13" s="345" t="s">
        <v>377</v>
      </c>
      <c r="AF13" s="346" t="s">
        <v>376</v>
      </c>
      <c r="AG13" s="345" t="s">
        <v>377</v>
      </c>
      <c r="AH13" s="346" t="s">
        <v>376</v>
      </c>
      <c r="AI13" s="345" t="s">
        <v>377</v>
      </c>
      <c r="AJ13" s="344" t="s">
        <v>376</v>
      </c>
      <c r="AK13" s="343" t="s">
        <v>377</v>
      </c>
      <c r="AL13" s="342" t="s">
        <v>376</v>
      </c>
    </row>
    <row r="14" spans="1:42" ht="27" customHeight="1" thickBot="1" x14ac:dyDescent="0.4">
      <c r="B14" s="341" t="s">
        <v>109</v>
      </c>
      <c r="C14" s="376" t="s">
        <v>375</v>
      </c>
      <c r="D14" s="377"/>
      <c r="E14" s="376" t="s">
        <v>374</v>
      </c>
      <c r="F14" s="377"/>
      <c r="G14" s="376" t="s">
        <v>373</v>
      </c>
      <c r="H14" s="377"/>
      <c r="I14" s="458" t="s">
        <v>372</v>
      </c>
      <c r="J14" s="459"/>
      <c r="K14" s="458" t="s">
        <v>371</v>
      </c>
      <c r="L14" s="459"/>
      <c r="M14" s="458" t="s">
        <v>370</v>
      </c>
      <c r="N14" s="459"/>
      <c r="O14" s="376" t="s">
        <v>369</v>
      </c>
      <c r="P14" s="377"/>
      <c r="Q14" s="376" t="s">
        <v>368</v>
      </c>
      <c r="R14" s="377"/>
      <c r="S14" s="376" t="s">
        <v>367</v>
      </c>
      <c r="T14" s="377"/>
      <c r="U14" s="376" t="s">
        <v>366</v>
      </c>
      <c r="V14" s="377"/>
      <c r="W14" s="376" t="s">
        <v>365</v>
      </c>
      <c r="X14" s="377"/>
      <c r="Y14" s="376" t="s">
        <v>364</v>
      </c>
      <c r="Z14" s="377"/>
      <c r="AA14" s="376" t="s">
        <v>363</v>
      </c>
      <c r="AB14" s="377"/>
      <c r="AC14" s="489" t="s">
        <v>362</v>
      </c>
      <c r="AD14" s="490"/>
      <c r="AE14" s="489" t="s">
        <v>361</v>
      </c>
      <c r="AF14" s="490"/>
      <c r="AG14" s="489" t="s">
        <v>360</v>
      </c>
      <c r="AH14" s="490"/>
      <c r="AI14" s="376" t="s">
        <v>359</v>
      </c>
      <c r="AJ14" s="377"/>
      <c r="AK14" s="495" t="s">
        <v>358</v>
      </c>
      <c r="AL14" s="496"/>
      <c r="AM14" s="493" t="s">
        <v>118</v>
      </c>
      <c r="AN14" s="494"/>
      <c r="AO14" s="356" t="s">
        <v>421</v>
      </c>
    </row>
    <row r="15" spans="1:42" ht="26.5" thickBot="1" x14ac:dyDescent="0.4">
      <c r="A15" s="120" t="s">
        <v>0</v>
      </c>
      <c r="B15" s="340"/>
      <c r="C15" s="35" t="s">
        <v>120</v>
      </c>
      <c r="D15" s="34" t="s">
        <v>121</v>
      </c>
      <c r="E15" s="35" t="s">
        <v>120</v>
      </c>
      <c r="F15" s="34" t="s">
        <v>121</v>
      </c>
      <c r="G15" s="35" t="s">
        <v>120</v>
      </c>
      <c r="H15" s="34" t="s">
        <v>121</v>
      </c>
      <c r="I15" s="269" t="s">
        <v>120</v>
      </c>
      <c r="J15" s="268" t="s">
        <v>121</v>
      </c>
      <c r="K15" s="269" t="s">
        <v>120</v>
      </c>
      <c r="L15" s="268" t="s">
        <v>121</v>
      </c>
      <c r="M15" s="269" t="s">
        <v>120</v>
      </c>
      <c r="N15" s="268" t="s">
        <v>121</v>
      </c>
      <c r="O15" s="35" t="s">
        <v>120</v>
      </c>
      <c r="P15" s="34" t="s">
        <v>121</v>
      </c>
      <c r="Q15" s="35" t="s">
        <v>120</v>
      </c>
      <c r="R15" s="34" t="s">
        <v>121</v>
      </c>
      <c r="S15" s="35" t="s">
        <v>120</v>
      </c>
      <c r="T15" s="34" t="s">
        <v>121</v>
      </c>
      <c r="U15" s="35" t="s">
        <v>120</v>
      </c>
      <c r="V15" s="34" t="s">
        <v>121</v>
      </c>
      <c r="W15" s="35" t="s">
        <v>120</v>
      </c>
      <c r="X15" s="34" t="s">
        <v>121</v>
      </c>
      <c r="Y15" s="35" t="s">
        <v>120</v>
      </c>
      <c r="Z15" s="34" t="s">
        <v>121</v>
      </c>
      <c r="AA15" s="35" t="s">
        <v>120</v>
      </c>
      <c r="AB15" s="34" t="s">
        <v>121</v>
      </c>
      <c r="AC15" s="339" t="s">
        <v>120</v>
      </c>
      <c r="AD15" s="338" t="s">
        <v>121</v>
      </c>
      <c r="AE15" s="339" t="s">
        <v>120</v>
      </c>
      <c r="AF15" s="338" t="s">
        <v>121</v>
      </c>
      <c r="AG15" s="339" t="s">
        <v>120</v>
      </c>
      <c r="AH15" s="338" t="s">
        <v>121</v>
      </c>
      <c r="AI15" s="35" t="s">
        <v>120</v>
      </c>
      <c r="AJ15" s="34" t="s">
        <v>121</v>
      </c>
      <c r="AK15" s="337" t="s">
        <v>120</v>
      </c>
      <c r="AL15" s="336" t="s">
        <v>121</v>
      </c>
      <c r="AM15" s="335" t="s">
        <v>120</v>
      </c>
      <c r="AN15" s="334" t="s">
        <v>121</v>
      </c>
      <c r="AO15" s="334" t="s">
        <v>121</v>
      </c>
      <c r="AP15" s="357" t="s">
        <v>59</v>
      </c>
    </row>
    <row r="16" spans="1:42" ht="15" hidden="1" thickBot="1" x14ac:dyDescent="0.4">
      <c r="B16" s="333" t="s">
        <v>122</v>
      </c>
      <c r="C16" s="212">
        <v>9.4499999999999998E-4</v>
      </c>
      <c r="D16" s="103">
        <f>C16*'Molecular Weights'!$B$3/D79</f>
        <v>1.022377366721376E-3</v>
      </c>
      <c r="E16" s="212">
        <v>7.5799999999999999E-4</v>
      </c>
      <c r="F16" s="103">
        <f>E16*'Molecular Weights'!$B$3/F79</f>
        <v>8.1998948194045122E-4</v>
      </c>
      <c r="G16" s="212">
        <v>1.1900000000000001E-3</v>
      </c>
      <c r="H16" s="103">
        <f>G16*'Molecular Weights'!$B$3/H79</f>
        <v>1.2628506722123227E-3</v>
      </c>
      <c r="I16" s="258">
        <v>0</v>
      </c>
      <c r="J16" s="199">
        <f>I16*'Molecular Weights'!$B$3/J79</f>
        <v>0</v>
      </c>
      <c r="K16" s="112">
        <v>0</v>
      </c>
      <c r="L16" s="103">
        <f>K16*'Molecular Weights'!$B$3/L79</f>
        <v>0</v>
      </c>
      <c r="M16" s="212">
        <v>5.7499999999999999E-4</v>
      </c>
      <c r="N16" s="103">
        <f>M16*'Molecular Weights'!$B$3/N79</f>
        <v>6.1409626917333375E-4</v>
      </c>
      <c r="O16" s="257">
        <v>0</v>
      </c>
      <c r="P16" s="103">
        <f>O16*'Molecular Weights'!$B$3/P79</f>
        <v>0</v>
      </c>
      <c r="Q16" s="258">
        <v>0</v>
      </c>
      <c r="R16" s="103">
        <f>Q16*'Molecular Weights'!$B$3/R79</f>
        <v>0</v>
      </c>
      <c r="S16" s="258">
        <v>0</v>
      </c>
      <c r="T16" s="103">
        <f>S16*'Molecular Weights'!$B$3/T79</f>
        <v>0</v>
      </c>
      <c r="U16" s="258">
        <v>0</v>
      </c>
      <c r="V16" s="103">
        <f>U16*'Molecular Weights'!$B$3/V79</f>
        <v>0</v>
      </c>
      <c r="W16" s="258">
        <v>0</v>
      </c>
      <c r="X16" s="103">
        <f>W16*'Molecular Weights'!$B$3/X79</f>
        <v>0</v>
      </c>
      <c r="Y16" s="258">
        <v>0</v>
      </c>
      <c r="Z16" s="103">
        <f>Y16*'Molecular Weights'!$B$3/Z79</f>
        <v>0</v>
      </c>
      <c r="AA16" s="258">
        <v>0</v>
      </c>
      <c r="AB16" s="103">
        <f>AA16*'Molecular Weights'!$B$3/AB79</f>
        <v>0</v>
      </c>
      <c r="AC16" s="112">
        <v>0</v>
      </c>
      <c r="AD16" s="103">
        <f>AC16*'Molecular Weights'!$B$3/AD79</f>
        <v>0</v>
      </c>
      <c r="AE16" s="112">
        <v>0</v>
      </c>
      <c r="AF16" s="103">
        <f>AE16*'Molecular Weights'!$B$3/AF79</f>
        <v>0</v>
      </c>
      <c r="AG16" s="112">
        <v>0</v>
      </c>
      <c r="AH16" s="103">
        <f>AG16*'Molecular Weights'!$B$3/AH79</f>
        <v>0</v>
      </c>
      <c r="AI16" s="112">
        <v>0</v>
      </c>
      <c r="AJ16" s="103">
        <f>AI16*'Molecular Weights'!$B$3/AJ79</f>
        <v>0</v>
      </c>
      <c r="AK16" s="112">
        <v>0</v>
      </c>
      <c r="AL16" s="103">
        <f>AK16*'Molecular Weights'!$B$3/AL79</f>
        <v>0</v>
      </c>
      <c r="AM16" s="24">
        <f t="shared" ref="AM16:AM47" si="0">AVERAGE(C16,E16,G16,I16,K16,M16,O16,Q16,S16,U16,W16,Y16,AA16,AC16,AE16,AG16,AI16,AK16,)</f>
        <v>1.8252631578947369E-4</v>
      </c>
      <c r="AN16" s="24"/>
      <c r="AO16" s="300"/>
    </row>
    <row r="17" spans="1:42" ht="15" hidden="1" thickBot="1" x14ac:dyDescent="0.4">
      <c r="B17" s="332" t="s">
        <v>123</v>
      </c>
      <c r="C17" s="316">
        <v>0</v>
      </c>
      <c r="D17" s="108">
        <f>C17*'Molecular Weights'!$B$4/D79</f>
        <v>0</v>
      </c>
      <c r="E17" s="316">
        <v>0</v>
      </c>
      <c r="F17" s="108">
        <f>E17*'Molecular Weights'!$B$4/F79</f>
        <v>0</v>
      </c>
      <c r="G17" s="316">
        <v>0</v>
      </c>
      <c r="H17" s="108">
        <f>G17*'Molecular Weights'!$B$4/H79</f>
        <v>0</v>
      </c>
      <c r="I17" s="316">
        <v>0</v>
      </c>
      <c r="J17" s="330">
        <f>I17*'Molecular Weights'!$B$4/J79</f>
        <v>0</v>
      </c>
      <c r="K17" s="316">
        <v>0</v>
      </c>
      <c r="L17" s="108">
        <f>K17*'Molecular Weights'!$B$4/L79</f>
        <v>0</v>
      </c>
      <c r="M17" s="316">
        <v>0</v>
      </c>
      <c r="N17" s="108">
        <f>M17*'Molecular Weights'!$B$4/N79</f>
        <v>0</v>
      </c>
      <c r="O17" s="238">
        <v>0</v>
      </c>
      <c r="P17" s="108">
        <f>O17*'Molecular Weights'!$B$4/P79</f>
        <v>0</v>
      </c>
      <c r="Q17" s="222">
        <v>0</v>
      </c>
      <c r="R17" s="49">
        <f>Q17*'Molecular Weights'!$B$4/R79</f>
        <v>0</v>
      </c>
      <c r="S17" s="222">
        <v>9.9999999999999995E-7</v>
      </c>
      <c r="T17" s="49">
        <f>S17*'Molecular Weights'!$B$4/T79</f>
        <v>1.7274041896767198E-6</v>
      </c>
      <c r="U17" s="222">
        <v>9.9999999999999995E-7</v>
      </c>
      <c r="V17" s="49">
        <f>U17*'Molecular Weights'!$B$4/V79</f>
        <v>1.6727913475354525E-6</v>
      </c>
      <c r="W17" s="222">
        <v>9.9999999999999995E-7</v>
      </c>
      <c r="X17" s="49">
        <f>W17*'Molecular Weights'!$B$4/X79</f>
        <v>1.6425536019498154E-6</v>
      </c>
      <c r="Y17" s="222">
        <v>0</v>
      </c>
      <c r="Z17" s="49">
        <f>Y17*'Molecular Weights'!$B$4/Z79</f>
        <v>0</v>
      </c>
      <c r="AA17" s="318">
        <v>0</v>
      </c>
      <c r="AB17" s="108">
        <f>AA17*'Molecular Weights'!$B$4/AB79</f>
        <v>0</v>
      </c>
      <c r="AC17" s="318">
        <v>0</v>
      </c>
      <c r="AD17" s="108">
        <f>AC17*'Molecular Weights'!$B$4/AD79</f>
        <v>0</v>
      </c>
      <c r="AE17" s="318">
        <v>0</v>
      </c>
      <c r="AF17" s="108">
        <f>AE17*'Molecular Weights'!$B$4/AF79</f>
        <v>0</v>
      </c>
      <c r="AG17" s="318">
        <v>0</v>
      </c>
      <c r="AH17" s="108">
        <f>AG17*'Molecular Weights'!$B$4/AH79</f>
        <v>0</v>
      </c>
      <c r="AI17" s="318">
        <v>0</v>
      </c>
      <c r="AJ17" s="108">
        <f>AI17*'Molecular Weights'!$B$4/AJ79</f>
        <v>0</v>
      </c>
      <c r="AK17" s="316">
        <v>0</v>
      </c>
      <c r="AL17" s="108">
        <f>AK17*'Molecular Weights'!$B$4/AL79</f>
        <v>0</v>
      </c>
      <c r="AM17" s="24">
        <f t="shared" si="0"/>
        <v>1.5789473684210527E-7</v>
      </c>
      <c r="AN17" s="24"/>
      <c r="AO17" s="300"/>
    </row>
    <row r="18" spans="1:42" ht="15" hidden="1" thickBot="1" x14ac:dyDescent="0.4">
      <c r="B18" s="331" t="s">
        <v>126</v>
      </c>
      <c r="C18" s="118">
        <v>2.0200000000000001E-3</v>
      </c>
      <c r="D18" s="108">
        <f>C18*'Molecular Weights'!$B$5/D79</f>
        <v>5.3387084633237086E-3</v>
      </c>
      <c r="E18" s="118">
        <v>2.0999999999999999E-3</v>
      </c>
      <c r="F18" s="108">
        <f>E18*'Molecular Weights'!$B$5/F79</f>
        <v>5.5496269283544231E-3</v>
      </c>
      <c r="G18" s="118">
        <v>1.09E-3</v>
      </c>
      <c r="H18" s="108">
        <f>G18*'Molecular Weights'!$B$5/H79</f>
        <v>2.8257709383700835E-3</v>
      </c>
      <c r="I18" s="118">
        <v>1.0839999999999999E-3</v>
      </c>
      <c r="J18" s="330">
        <f>I18*'Molecular Weights'!$B$5/J79</f>
        <v>2.4229981674629207E-3</v>
      </c>
      <c r="K18" s="118">
        <v>9.990000000000001E-4</v>
      </c>
      <c r="L18" s="108">
        <f>K18*'Molecular Weights'!$B$5/L79</f>
        <v>2.5693279391024652E-3</v>
      </c>
      <c r="M18" s="118">
        <v>1.423E-3</v>
      </c>
      <c r="N18" s="108">
        <f>M18*'Molecular Weights'!$B$5/N79</f>
        <v>3.7126065994505142E-3</v>
      </c>
      <c r="O18" s="238">
        <v>9.5500000000000001E-4</v>
      </c>
      <c r="P18" s="108">
        <f>O18*'Molecular Weights'!$B$5/P79</f>
        <v>2.1909390956846566E-3</v>
      </c>
      <c r="Q18" s="222">
        <v>1.3270000000000001E-3</v>
      </c>
      <c r="R18" s="49">
        <f>Q18*'Molecular Weights'!$B$5/R79</f>
        <v>2.8668645575652294E-3</v>
      </c>
      <c r="S18" s="222">
        <v>1.1299999999999999E-3</v>
      </c>
      <c r="T18" s="49">
        <f>S18*'Molecular Weights'!$B$5/T79</f>
        <v>2.5206238804485886E-3</v>
      </c>
      <c r="U18" s="222">
        <v>1.312E-3</v>
      </c>
      <c r="V18" s="49">
        <f>U18*'Molecular Weights'!$B$5/V79</f>
        <v>2.8340743719611201E-3</v>
      </c>
      <c r="W18" s="222">
        <v>1.2279999999999999E-3</v>
      </c>
      <c r="X18" s="49">
        <f>W18*'Molecular Weights'!$B$5/X79</f>
        <v>2.6046750627000468E-3</v>
      </c>
      <c r="Y18" s="222">
        <v>1.227E-3</v>
      </c>
      <c r="Z18" s="49">
        <f>Y18*'Molecular Weights'!$B$5/Z79</f>
        <v>2.7682569131400703E-3</v>
      </c>
      <c r="AA18" s="318">
        <v>1.3179999999999999E-3</v>
      </c>
      <c r="AB18" s="108">
        <f>AA18*'Molecular Weights'!$B$5/AB79</f>
        <v>3.1492904162338858E-3</v>
      </c>
      <c r="AC18" s="118">
        <v>9.8499999999999998E-4</v>
      </c>
      <c r="AD18" s="108">
        <f>AC18*'Molecular Weights'!$B$5/AD79</f>
        <v>2.2493781062941413E-3</v>
      </c>
      <c r="AE18" s="118">
        <v>1.0549999999999999E-3</v>
      </c>
      <c r="AF18" s="108">
        <f>AE18*'Molecular Weights'!$B$5/AF79</f>
        <v>2.5013066376067985E-3</v>
      </c>
      <c r="AG18" s="118">
        <v>1.3979999999999999E-3</v>
      </c>
      <c r="AH18" s="108">
        <f>AG18*'Molecular Weights'!$B$5/AH79</f>
        <v>3.494638224624951E-3</v>
      </c>
      <c r="AI18" s="118">
        <v>6.9899999999999997E-4</v>
      </c>
      <c r="AJ18" s="108">
        <f>AI18*'Molecular Weights'!$B$5/AJ79</f>
        <v>1.4223734214558336E-3</v>
      </c>
      <c r="AK18" s="118">
        <v>1.047E-3</v>
      </c>
      <c r="AL18" s="108">
        <f>AK18*'Molecular Weights'!$B$5/AL79</f>
        <v>1.8753297086210559E-3</v>
      </c>
      <c r="AM18" s="24">
        <f t="shared" si="0"/>
        <v>1.1787894736842105E-3</v>
      </c>
      <c r="AN18" s="24"/>
      <c r="AO18" s="300"/>
    </row>
    <row r="19" spans="1:42" ht="15" hidden="1" thickBot="1" x14ac:dyDescent="0.4">
      <c r="B19" s="329" t="s">
        <v>195</v>
      </c>
      <c r="C19" s="114">
        <v>2.4599999999999999E-3</v>
      </c>
      <c r="D19" s="49">
        <f>C19*'Molecular Weights'!$B$6/D79</f>
        <v>4.1384654251576652E-3</v>
      </c>
      <c r="E19" s="114">
        <v>3.2100000000000002E-3</v>
      </c>
      <c r="F19" s="49">
        <f>E19*'Molecular Weights'!$B$6/F79</f>
        <v>5.3996910837237179E-3</v>
      </c>
      <c r="G19" s="114">
        <v>2.7399999999999998E-3</v>
      </c>
      <c r="H19" s="49">
        <f>G19*'Molecular Weights'!$B$6/H79</f>
        <v>4.5214778460056417E-3</v>
      </c>
      <c r="I19" s="114">
        <v>3.7829999999999999E-3</v>
      </c>
      <c r="J19" s="221">
        <f>I19*'Molecular Weights'!$B$6/J79</f>
        <v>5.3824441585898584E-3</v>
      </c>
      <c r="K19" s="114">
        <v>5.352E-3</v>
      </c>
      <c r="L19" s="49">
        <f>K19*'Molecular Weights'!$B$6/L79</f>
        <v>8.7617235072148681E-3</v>
      </c>
      <c r="M19" s="114">
        <v>3.5339999999999998E-3</v>
      </c>
      <c r="N19" s="49">
        <f>M19*'Molecular Weights'!$B$6/N79</f>
        <v>5.8689439983144916E-3</v>
      </c>
      <c r="O19" s="238">
        <v>3.1089999999999998E-3</v>
      </c>
      <c r="P19" s="49">
        <f>O19*'Molecular Weights'!$B$6/P79</f>
        <v>4.5401169867555465E-3</v>
      </c>
      <c r="Q19" s="222">
        <v>3.359E-3</v>
      </c>
      <c r="R19" s="49">
        <f>Q19*'Molecular Weights'!$B$6/R79</f>
        <v>4.6191880671989198E-3</v>
      </c>
      <c r="S19" s="222">
        <v>3.3210000000000002E-3</v>
      </c>
      <c r="T19" s="49">
        <f>S19*'Molecular Weights'!$B$6/T79</f>
        <v>4.7153926980308411E-3</v>
      </c>
      <c r="U19" s="222">
        <v>3.4150000000000001E-3</v>
      </c>
      <c r="V19" s="49">
        <f>U19*'Molecular Weights'!$B$6/V79</f>
        <v>4.6955611843413243E-3</v>
      </c>
      <c r="W19" s="222">
        <v>3.473E-3</v>
      </c>
      <c r="X19" s="49">
        <f>W19*'Molecular Weights'!$B$6/X79</f>
        <v>4.6889905412080355E-3</v>
      </c>
      <c r="Y19" s="222">
        <v>3.4480000000000001E-3</v>
      </c>
      <c r="Z19" s="49">
        <f>Y19*'Molecular Weights'!$B$6/Z79</f>
        <v>4.9516333080749158E-3</v>
      </c>
      <c r="AA19" s="222">
        <v>2.8600000000000001E-3</v>
      </c>
      <c r="AB19" s="49">
        <f>AA19*'Molecular Weights'!$B$6/AB79</f>
        <v>4.3499345497210696E-3</v>
      </c>
      <c r="AC19" s="114">
        <v>3.2209999999999999E-3</v>
      </c>
      <c r="AD19" s="49">
        <f>AC19*'Molecular Weights'!$B$6/AD79</f>
        <v>4.6820532220956902E-3</v>
      </c>
      <c r="AE19" s="114">
        <v>3.0500000000000002E-3</v>
      </c>
      <c r="AF19" s="49">
        <f>AE19*'Molecular Weights'!$B$6/AF79</f>
        <v>4.6029229310388456E-3</v>
      </c>
      <c r="AG19" s="114">
        <v>2.65E-3</v>
      </c>
      <c r="AH19" s="49">
        <f>AG19*'Molecular Weights'!$B$6/AH79</f>
        <v>4.216579699498289E-3</v>
      </c>
      <c r="AI19" s="114">
        <v>4.8120000000000003E-3</v>
      </c>
      <c r="AJ19" s="49">
        <f>AI19*'Molecular Weights'!$B$6/AJ79</f>
        <v>6.2327751445584592E-3</v>
      </c>
      <c r="AK19" s="114">
        <v>3.5739999999999999E-3</v>
      </c>
      <c r="AL19" s="49">
        <f>AK19*'Molecular Weights'!$B$6/AL79</f>
        <v>4.0747867776920067E-3</v>
      </c>
      <c r="AM19" s="24">
        <f t="shared" si="0"/>
        <v>3.2300526315789473E-3</v>
      </c>
      <c r="AN19" s="24"/>
      <c r="AO19" s="300"/>
    </row>
    <row r="20" spans="1:42" ht="15" hidden="1" thickBot="1" x14ac:dyDescent="0.4">
      <c r="B20" s="329" t="s">
        <v>196</v>
      </c>
      <c r="C20" s="113">
        <v>0</v>
      </c>
      <c r="D20" s="49">
        <f>C20*'Molecular Weights'!$B$7/D79</f>
        <v>0</v>
      </c>
      <c r="E20" s="113">
        <v>0</v>
      </c>
      <c r="F20" s="49">
        <f>E20*'Molecular Weights'!$B$7/F79</f>
        <v>0</v>
      </c>
      <c r="G20" s="113">
        <v>0</v>
      </c>
      <c r="H20" s="49">
        <f>G20*'Molecular Weights'!$B$7/H79</f>
        <v>0</v>
      </c>
      <c r="I20" s="222">
        <v>1.5899999999999999E-4</v>
      </c>
      <c r="J20" s="221">
        <f>I20*'Molecular Weights'!$B$7/J79</f>
        <v>2.5840932717103698E-4</v>
      </c>
      <c r="K20" s="114">
        <v>3.2000000000000003E-4</v>
      </c>
      <c r="L20" s="49">
        <f>K20*'Molecular Weights'!$B$7/L79</f>
        <v>5.9839958966181948E-4</v>
      </c>
      <c r="M20" s="114">
        <v>2.7700000000000001E-4</v>
      </c>
      <c r="N20" s="49">
        <f>M20*'Molecular Weights'!$B$7/N79</f>
        <v>5.2546169062210157E-4</v>
      </c>
      <c r="O20" s="238">
        <v>1.8E-5</v>
      </c>
      <c r="P20" s="49">
        <f>O20*'Molecular Weights'!$B$7/P79</f>
        <v>3.0025254419542459E-5</v>
      </c>
      <c r="Q20" s="222">
        <v>1.5E-5</v>
      </c>
      <c r="R20" s="49">
        <f>Q20*'Molecular Weights'!$B$7/R79</f>
        <v>2.3562142014214762E-5</v>
      </c>
      <c r="S20" s="222">
        <v>1.1E-5</v>
      </c>
      <c r="T20" s="49">
        <f>S20*'Molecular Weights'!$B$7/T79</f>
        <v>1.78406036766334E-5</v>
      </c>
      <c r="U20" s="222">
        <v>1.5E-5</v>
      </c>
      <c r="V20" s="49">
        <f>U20*'Molecular Weights'!$B$7/V79</f>
        <v>2.3558949668340769E-5</v>
      </c>
      <c r="W20" s="222">
        <v>0</v>
      </c>
      <c r="X20" s="49">
        <f>W20*'Molecular Weights'!$B$7/X79</f>
        <v>0</v>
      </c>
      <c r="Y20" s="222">
        <v>2.5999999999999998E-5</v>
      </c>
      <c r="Z20" s="49">
        <f>Y20*'Molecular Weights'!$B$7/Z79</f>
        <v>4.2650333935306571E-5</v>
      </c>
      <c r="AA20" s="222">
        <v>7.9999999999999996E-6</v>
      </c>
      <c r="AB20" s="49">
        <f>AA20*'Molecular Weights'!$B$7/AB79</f>
        <v>1.3898711677454913E-5</v>
      </c>
      <c r="AC20" s="222">
        <v>1.8E-5</v>
      </c>
      <c r="AD20" s="49">
        <f>AC20*'Molecular Weights'!$B$7/AD79</f>
        <v>2.9887252715529388E-5</v>
      </c>
      <c r="AE20" s="222">
        <v>2.8E-5</v>
      </c>
      <c r="AF20" s="49">
        <f>AE20*'Molecular Weights'!$B$7/AF79</f>
        <v>4.8268051203134078E-5</v>
      </c>
      <c r="AG20" s="222">
        <v>1.5E-5</v>
      </c>
      <c r="AH20" s="49">
        <f>AG20*'Molecular Weights'!$B$7/AH79</f>
        <v>2.726299526095514E-5</v>
      </c>
      <c r="AI20" s="222">
        <v>3.6999999999999998E-5</v>
      </c>
      <c r="AJ20" s="49">
        <f>AI20*'Molecular Weights'!$B$7/AJ79</f>
        <v>5.4742601748500562E-5</v>
      </c>
      <c r="AK20" s="114">
        <v>1.047E-3</v>
      </c>
      <c r="AL20" s="49">
        <f>AK20*'Molecular Weights'!$B$7/AL79</f>
        <v>1.363530607714776E-3</v>
      </c>
      <c r="AM20" s="24">
        <f t="shared" si="0"/>
        <v>1.0494736842105264E-4</v>
      </c>
      <c r="AN20" s="24"/>
      <c r="AO20" s="300"/>
    </row>
    <row r="21" spans="1:42" ht="15" hidden="1" thickBot="1" x14ac:dyDescent="0.4">
      <c r="B21" s="329" t="s">
        <v>197</v>
      </c>
      <c r="C21" s="113">
        <v>0</v>
      </c>
      <c r="D21" s="49">
        <f>C21*'Molecular Weights'!$B$8/D79</f>
        <v>0</v>
      </c>
      <c r="E21" s="113">
        <v>0</v>
      </c>
      <c r="F21" s="49">
        <f>E21*'Molecular Weights'!$B$8/F79</f>
        <v>0</v>
      </c>
      <c r="G21" s="113">
        <v>0</v>
      </c>
      <c r="H21" s="49">
        <f>G21*'Molecular Weights'!$B$8/H79</f>
        <v>0</v>
      </c>
      <c r="I21" s="113">
        <v>0</v>
      </c>
      <c r="J21" s="221">
        <f>I21*'Molecular Weights'!$B$8/J79</f>
        <v>0</v>
      </c>
      <c r="K21" s="113">
        <v>0</v>
      </c>
      <c r="L21" s="49">
        <f>K21*'Molecular Weights'!$B$8/L79</f>
        <v>0</v>
      </c>
      <c r="M21" s="113">
        <v>0</v>
      </c>
      <c r="N21" s="49">
        <f>M21*'Molecular Weights'!$B$8/N79</f>
        <v>0</v>
      </c>
      <c r="O21" s="238">
        <v>0</v>
      </c>
      <c r="P21" s="49">
        <f>O21*'Molecular Weights'!$B$8/P79</f>
        <v>0</v>
      </c>
      <c r="Q21" s="247">
        <v>0</v>
      </c>
      <c r="R21" s="49">
        <f>Q21*'Molecular Weights'!$B$8/R79</f>
        <v>0</v>
      </c>
      <c r="S21" s="247">
        <v>0</v>
      </c>
      <c r="T21" s="49">
        <f>S21*'Molecular Weights'!$B$8/T79</f>
        <v>0</v>
      </c>
      <c r="U21" s="247">
        <v>0</v>
      </c>
      <c r="V21" s="49">
        <f>U21*'Molecular Weights'!$B$8/V79</f>
        <v>0</v>
      </c>
      <c r="W21" s="247">
        <v>0</v>
      </c>
      <c r="X21" s="49">
        <f>W21*'Molecular Weights'!$B$8/X79</f>
        <v>0</v>
      </c>
      <c r="Y21" s="247">
        <v>0</v>
      </c>
      <c r="Z21" s="49">
        <f>Y21*'Molecular Weights'!$B$8/Z79</f>
        <v>0</v>
      </c>
      <c r="AA21" s="222">
        <v>0</v>
      </c>
      <c r="AB21" s="49">
        <f>AA21*'Molecular Weights'!$B$8/AB79</f>
        <v>0</v>
      </c>
      <c r="AC21" s="222">
        <v>0</v>
      </c>
      <c r="AD21" s="49">
        <f>AC21*'Molecular Weights'!$B$8/AD79</f>
        <v>0</v>
      </c>
      <c r="AE21" s="222">
        <v>0</v>
      </c>
      <c r="AF21" s="49">
        <f>AE21*'Molecular Weights'!$B$8/AF79</f>
        <v>0</v>
      </c>
      <c r="AG21" s="222">
        <v>0</v>
      </c>
      <c r="AH21" s="49">
        <f>AG21*'Molecular Weights'!$B$8/AH79</f>
        <v>0</v>
      </c>
      <c r="AI21" s="222">
        <v>0</v>
      </c>
      <c r="AJ21" s="49">
        <f>AI21*'Molecular Weights'!$B$8/AJ79</f>
        <v>0</v>
      </c>
      <c r="AK21" s="113">
        <v>0</v>
      </c>
      <c r="AL21" s="49">
        <f>AK21*'Molecular Weights'!$B$8/AL79</f>
        <v>0</v>
      </c>
      <c r="AM21" s="24">
        <f t="shared" si="0"/>
        <v>0</v>
      </c>
      <c r="AN21" s="24"/>
      <c r="AO21" s="300"/>
    </row>
    <row r="22" spans="1:42" ht="15" hidden="1" thickBot="1" x14ac:dyDescent="0.4">
      <c r="B22" s="328" t="s">
        <v>198</v>
      </c>
      <c r="C22" s="205">
        <v>0</v>
      </c>
      <c r="D22" s="62">
        <f>C22*'Molecular Weights'!$B$9/D79</f>
        <v>0</v>
      </c>
      <c r="E22" s="215">
        <v>0</v>
      </c>
      <c r="F22" s="119">
        <f>E22*'Molecular Weights'!$B$9/F79</f>
        <v>0</v>
      </c>
      <c r="G22" s="215">
        <v>0</v>
      </c>
      <c r="H22" s="119">
        <f>G22*'Molecular Weights'!$B$9/H79</f>
        <v>0</v>
      </c>
      <c r="I22" s="205">
        <v>0</v>
      </c>
      <c r="J22" s="64">
        <f>I22*'Molecular Weights'!$B$9/J79</f>
        <v>0</v>
      </c>
      <c r="K22" s="205">
        <v>0</v>
      </c>
      <c r="L22" s="62">
        <f>K22*'Molecular Weights'!$B$9/L79</f>
        <v>0</v>
      </c>
      <c r="M22" s="205">
        <v>0</v>
      </c>
      <c r="N22" s="62">
        <f>M22*'Molecular Weights'!$B$9/N79</f>
        <v>0</v>
      </c>
      <c r="O22" s="252">
        <v>0</v>
      </c>
      <c r="P22" s="62">
        <f>O22*'Molecular Weights'!$B$9/P79</f>
        <v>0</v>
      </c>
      <c r="Q22" s="246">
        <v>0</v>
      </c>
      <c r="R22" s="62">
        <f>Q22*'Molecular Weights'!$B$9/R79</f>
        <v>0</v>
      </c>
      <c r="S22" s="246">
        <v>0</v>
      </c>
      <c r="T22" s="62">
        <f>S22*'Molecular Weights'!$B$9/T79</f>
        <v>0</v>
      </c>
      <c r="U22" s="246">
        <v>0</v>
      </c>
      <c r="V22" s="62">
        <f>U22*'Molecular Weights'!$B$9/V79</f>
        <v>0</v>
      </c>
      <c r="W22" s="246">
        <v>0</v>
      </c>
      <c r="X22" s="62">
        <f>W22*'Molecular Weights'!$B$9/X79</f>
        <v>0</v>
      </c>
      <c r="Y22" s="246">
        <v>0</v>
      </c>
      <c r="Z22" s="62">
        <f>Y22*'Molecular Weights'!$B$9/Z79</f>
        <v>0</v>
      </c>
      <c r="AA22" s="246">
        <v>0</v>
      </c>
      <c r="AB22" s="62">
        <f>AA22*'Molecular Weights'!$B$9/AB79</f>
        <v>0</v>
      </c>
      <c r="AC22" s="205">
        <v>0</v>
      </c>
      <c r="AD22" s="62">
        <f>AC22*'Molecular Weights'!$B$9/AD79</f>
        <v>0</v>
      </c>
      <c r="AE22" s="205">
        <v>0</v>
      </c>
      <c r="AF22" s="62">
        <f>AE22*'Molecular Weights'!$B$9/AF79</f>
        <v>0</v>
      </c>
      <c r="AG22" s="205">
        <v>0</v>
      </c>
      <c r="AH22" s="62">
        <f>AG22*'Molecular Weights'!$B$9/AH79</f>
        <v>0</v>
      </c>
      <c r="AI22" s="205">
        <v>0</v>
      </c>
      <c r="AJ22" s="62">
        <f>AI22*'Molecular Weights'!$B$9/AJ79</f>
        <v>0</v>
      </c>
      <c r="AK22" s="205">
        <v>0</v>
      </c>
      <c r="AL22" s="62">
        <f>AK22*'Molecular Weights'!$B$9/AL79</f>
        <v>0</v>
      </c>
      <c r="AM22" s="24">
        <f t="shared" si="0"/>
        <v>0</v>
      </c>
      <c r="AN22" s="24"/>
      <c r="AO22" s="300"/>
    </row>
    <row r="23" spans="1:42" ht="15" thickBot="1" x14ac:dyDescent="0.4">
      <c r="A23" s="17">
        <v>529</v>
      </c>
      <c r="B23" s="298" t="s">
        <v>127</v>
      </c>
      <c r="C23" s="202">
        <v>0.96</v>
      </c>
      <c r="D23" s="296">
        <f>C23*'Molecular Weights'!$B$10/D79</f>
        <v>0.92486980247571171</v>
      </c>
      <c r="E23" s="202">
        <v>0.96</v>
      </c>
      <c r="F23" s="296">
        <f>E23*'Molecular Weights'!$B$10/F79</f>
        <v>0.92478389452198073</v>
      </c>
      <c r="G23" s="202">
        <v>0.94</v>
      </c>
      <c r="H23" s="296">
        <f>G23*'Molecular Weights'!$B$10/H79</f>
        <v>0.88830650123574539</v>
      </c>
      <c r="I23" s="202">
        <v>0.82203999999999999</v>
      </c>
      <c r="J23" s="297">
        <f>I23*'Molecular Weights'!$B$10/J79</f>
        <v>0.66979404910689488</v>
      </c>
      <c r="K23" s="202">
        <v>0.93193499999999996</v>
      </c>
      <c r="L23" s="296">
        <f>K23*'Molecular Weights'!$B$10/L79</f>
        <v>0.87370375933536726</v>
      </c>
      <c r="M23" s="202">
        <v>0.94736600000000004</v>
      </c>
      <c r="N23" s="296">
        <f>M23*'Molecular Weights'!$B$10/N79</f>
        <v>0.90098250308198335</v>
      </c>
      <c r="O23" s="250">
        <v>0.83528400000000003</v>
      </c>
      <c r="P23" s="296">
        <f>O23*'Molecular Weights'!$B$10/P79</f>
        <v>0.69853090712710664</v>
      </c>
      <c r="Q23" s="251">
        <v>0.78995899999999997</v>
      </c>
      <c r="R23" s="296">
        <f>Q23*'Molecular Weights'!$B$10/R79</f>
        <v>0.62210735325608524</v>
      </c>
      <c r="S23" s="251">
        <v>0.81306599999999996</v>
      </c>
      <c r="T23" s="296">
        <f>S23*'Molecular Weights'!$B$10/T79</f>
        <v>0.66111944988002158</v>
      </c>
      <c r="U23" s="251">
        <v>0.78965700000000005</v>
      </c>
      <c r="V23" s="296">
        <f>U23*'Molecular Weights'!$B$10/V79</f>
        <v>0.62178526789961397</v>
      </c>
      <c r="W23" s="251">
        <v>0.78752200000000006</v>
      </c>
      <c r="X23" s="296">
        <f>W23*'Molecular Weights'!$B$10/X79</f>
        <v>0.60889500427232301</v>
      </c>
      <c r="Y23" s="251">
        <v>0.82802299999999995</v>
      </c>
      <c r="Z23" s="296">
        <f>Y23*'Molecular Weights'!$B$10/Z79</f>
        <v>0.68097122586978764</v>
      </c>
      <c r="AA23" s="251">
        <v>0.870703</v>
      </c>
      <c r="AB23" s="296">
        <f>AA23*'Molecular Weights'!$B$10/AB79</f>
        <v>0.75838873378124461</v>
      </c>
      <c r="AC23" s="202">
        <v>0.83620000000000005</v>
      </c>
      <c r="AD23" s="296">
        <f>AC23*'Molecular Weights'!$B$10/AD79</f>
        <v>0.69608283920614522</v>
      </c>
      <c r="AE23" s="202">
        <v>0.86593299999999995</v>
      </c>
      <c r="AF23" s="296">
        <f>AE23*'Molecular Weights'!$B$10/AF79</f>
        <v>0.74838193756490901</v>
      </c>
      <c r="AG23" s="202">
        <v>0.907945</v>
      </c>
      <c r="AH23" s="296">
        <f>AG23*'Molecular Weights'!$B$10/AH79</f>
        <v>0.82733066832336655</v>
      </c>
      <c r="AI23" s="202">
        <v>0.74948199999999998</v>
      </c>
      <c r="AJ23" s="296">
        <f>AI23*'Molecular Weights'!$B$10/AJ79</f>
        <v>0.55593266202489799</v>
      </c>
      <c r="AK23" s="202">
        <v>0.62951100000000004</v>
      </c>
      <c r="AL23" s="296">
        <f>AK23*'Molecular Weights'!$B$10/AL79</f>
        <v>0.41101607339514235</v>
      </c>
      <c r="AM23" s="24">
        <f t="shared" si="0"/>
        <v>0.8034013684210527</v>
      </c>
      <c r="AN23" s="24">
        <f>AM23*'Molecular Weights'!$B$10/AN79</f>
        <v>0.71202884207515726</v>
      </c>
      <c r="AO23" s="300">
        <f>AN23/$AN$76</f>
        <v>0.71793915255618412</v>
      </c>
      <c r="AP23" s="358">
        <f>STDEV(D23,F23,H23,J23,L23,N23,P23,R23,T23,V23,X23,Z23,AB23,AD23,AF23,AH23,AJ23,AL23)</f>
        <v>0.14229442081072335</v>
      </c>
    </row>
    <row r="24" spans="1:42" ht="15" thickBot="1" x14ac:dyDescent="0.4">
      <c r="A24" s="17">
        <v>438</v>
      </c>
      <c r="B24" s="298" t="s">
        <v>128</v>
      </c>
      <c r="C24" s="202">
        <v>3.2099999999999997E-2</v>
      </c>
      <c r="D24" s="296">
        <f>C24*'Molecular Weights'!$B$11/D79</f>
        <v>5.7964620492693054E-2</v>
      </c>
      <c r="E24" s="202">
        <v>3.1899999999999998E-2</v>
      </c>
      <c r="F24" s="296">
        <f>E24*'Molecular Weights'!$B$11/F79</f>
        <v>5.7598119622345005E-2</v>
      </c>
      <c r="G24" s="202">
        <v>5.0099999999999999E-2</v>
      </c>
      <c r="H24" s="296">
        <f>G24*'Molecular Weights'!$B$11/H79</f>
        <v>8.8740385406196123E-2</v>
      </c>
      <c r="I24" s="202">
        <v>0.123374</v>
      </c>
      <c r="J24" s="297">
        <f>I24*'Molecular Weights'!$B$11/J79</f>
        <v>0.18841721376314119</v>
      </c>
      <c r="K24" s="202">
        <v>5.4807000000000002E-2</v>
      </c>
      <c r="L24" s="296">
        <f>K24*'Molecular Weights'!$B$11/L79</f>
        <v>9.6308187605154694E-2</v>
      </c>
      <c r="M24" s="202">
        <v>4.3497000000000001E-2</v>
      </c>
      <c r="N24" s="296">
        <f>M24*'Molecular Weights'!$B$11/N79</f>
        <v>7.7536548577679651E-2</v>
      </c>
      <c r="O24" s="250">
        <v>0.119578</v>
      </c>
      <c r="P24" s="296">
        <f>O24*'Molecular Weights'!$B$11/P79</f>
        <v>0.18743528339783574</v>
      </c>
      <c r="Q24" s="251">
        <v>0.141453</v>
      </c>
      <c r="R24" s="296">
        <f>Q24*'Molecular Weights'!$B$11/R79</f>
        <v>0.20879569673249795</v>
      </c>
      <c r="S24" s="251">
        <v>0.13120799999999999</v>
      </c>
      <c r="T24" s="296">
        <f>S24*'Molecular Weights'!$B$11/T79</f>
        <v>0.19996917132769065</v>
      </c>
      <c r="U24" s="251">
        <v>0.14124800000000001</v>
      </c>
      <c r="V24" s="296">
        <f>U24*'Molecular Weights'!$B$11/V79</f>
        <v>0.20846485274627977</v>
      </c>
      <c r="W24" s="251">
        <v>0.13642000000000001</v>
      </c>
      <c r="X24" s="296">
        <f>W24*'Molecular Weights'!$B$11/X79</f>
        <v>0.19769985864890791</v>
      </c>
      <c r="Y24" s="251">
        <v>0.11923300000000001</v>
      </c>
      <c r="Z24" s="296">
        <f>Y24*'Molecular Weights'!$B$11/Z79</f>
        <v>0.18379404249018041</v>
      </c>
      <c r="AA24" s="251">
        <v>9.8373000000000002E-2</v>
      </c>
      <c r="AB24" s="296">
        <f>AA24*'Molecular Weights'!$B$11/AB79</f>
        <v>0.16060029753151728</v>
      </c>
      <c r="AC24" s="202">
        <v>0.116746</v>
      </c>
      <c r="AD24" s="296">
        <f>AC24*'Molecular Weights'!$B$11/AD79</f>
        <v>0.18215511505585177</v>
      </c>
      <c r="AE24" s="202">
        <v>9.9586999999999995E-2</v>
      </c>
      <c r="AF24" s="296">
        <f>AE24*'Molecular Weights'!$B$11/AF79</f>
        <v>0.16132075799768666</v>
      </c>
      <c r="AG24" s="202">
        <v>7.4142E-2</v>
      </c>
      <c r="AH24" s="296">
        <f>AG24*'Molecular Weights'!$B$11/AH79</f>
        <v>0.12662879580709666</v>
      </c>
      <c r="AI24" s="202">
        <v>0.15232299999999999</v>
      </c>
      <c r="AJ24" s="296">
        <f>AI24*'Molecular Weights'!$B$11/AJ79</f>
        <v>0.21177518293920991</v>
      </c>
      <c r="AK24" s="202">
        <v>0.20985899999999999</v>
      </c>
      <c r="AL24" s="296">
        <f>AK24*'Molecular Weights'!$B$11/AL79</f>
        <v>0.25682167811521422</v>
      </c>
      <c r="AM24" s="24">
        <f t="shared" si="0"/>
        <v>9.8734105263157901E-2</v>
      </c>
      <c r="AN24" s="24">
        <f>AM24*'Molecular Weights'!$B$11/AN79</f>
        <v>0.16401395884319037</v>
      </c>
      <c r="AO24" s="300">
        <f t="shared" ref="AO24:AO46" si="1">AN24/$AN$76</f>
        <v>0.16537538321633857</v>
      </c>
      <c r="AP24" s="358">
        <f t="shared" ref="AP24:AP46" si="2">STDEV(D24,F24,H24,J24,L24,N24,P24,R24,T24,V24,X24,Z24,AB24,AD24,AF24,AH24,AJ24,AL24)</f>
        <v>5.956975755045002E-2</v>
      </c>
    </row>
    <row r="25" spans="1:42" ht="15" thickBot="1" x14ac:dyDescent="0.4">
      <c r="A25" s="17">
        <v>671</v>
      </c>
      <c r="B25" s="298" t="s">
        <v>129</v>
      </c>
      <c r="C25" s="202">
        <v>2.1099999999999999E-3</v>
      </c>
      <c r="D25" s="296">
        <f>C25*'Molecular Weights'!$B$12/D79</f>
        <v>5.5874842273012613E-3</v>
      </c>
      <c r="E25" s="202">
        <v>1.8799999999999999E-3</v>
      </c>
      <c r="F25" s="296">
        <f>E25*'Molecular Weights'!$B$12/F79</f>
        <v>4.9779595371781697E-3</v>
      </c>
      <c r="G25" s="202">
        <v>4.4299999999999999E-3</v>
      </c>
      <c r="H25" s="296">
        <f>G25*'Molecular Weights'!$B$12/H79</f>
        <v>1.1507028836225392E-2</v>
      </c>
      <c r="I25" s="202">
        <v>3.1279000000000001E-2</v>
      </c>
      <c r="J25" s="297">
        <f>I25*'Molecular Weights'!$B$12/J79</f>
        <v>7.005282963368499E-2</v>
      </c>
      <c r="K25" s="202">
        <v>5.4580000000000002E-3</v>
      </c>
      <c r="L25" s="296">
        <f>K25*'Molecular Weights'!$B$12/L79</f>
        <v>1.4064898467674593E-2</v>
      </c>
      <c r="M25" s="202">
        <v>3.3249999999999998E-3</v>
      </c>
      <c r="N25" s="296">
        <f>M25*'Molecular Weights'!$B$12/N79</f>
        <v>8.6918995911820889E-3</v>
      </c>
      <c r="O25" s="250">
        <v>2.8819999999999998E-2</v>
      </c>
      <c r="P25" s="296">
        <f>O25*'Molecular Weights'!$B$12/P79</f>
        <v>6.6247566352600595E-2</v>
      </c>
      <c r="Q25" s="251">
        <v>4.1687000000000002E-2</v>
      </c>
      <c r="R25" s="296">
        <f>Q25*'Molecular Weights'!$B$12/R79</f>
        <v>9.0237262927571879E-2</v>
      </c>
      <c r="S25" s="251">
        <v>3.4903999999999998E-2</v>
      </c>
      <c r="T25" s="296">
        <f>S25*'Molecular Weights'!$B$12/T79</f>
        <v>7.801063656998404E-2</v>
      </c>
      <c r="U25" s="251">
        <v>4.2270000000000002E-2</v>
      </c>
      <c r="V25" s="296">
        <f>U25*'Molecular Weights'!$B$12/V79</f>
        <v>9.1486849973971621E-2</v>
      </c>
      <c r="W25" s="251">
        <v>4.2134999999999999E-2</v>
      </c>
      <c r="X25" s="296">
        <f>W25*'Molecular Weights'!$B$12/X79</f>
        <v>8.9546208577891667E-2</v>
      </c>
      <c r="Y25" s="251">
        <v>3.1102999999999999E-2</v>
      </c>
      <c r="Z25" s="296">
        <f>Y25*'Molecular Weights'!$B$12/Z79</f>
        <v>7.0309357551843962E-2</v>
      </c>
      <c r="AA25" s="251">
        <v>1.8683000000000002E-2</v>
      </c>
      <c r="AB25" s="296">
        <f>AA25*'Molecular Weights'!$B$12/AB79</f>
        <v>4.4729385718845605E-2</v>
      </c>
      <c r="AC25" s="202">
        <v>2.8611999999999999E-2</v>
      </c>
      <c r="AD25" s="296">
        <f>AC25*'Molecular Weights'!$B$12/AD79</f>
        <v>6.5467155030255436E-2</v>
      </c>
      <c r="AE25" s="202">
        <v>2.0889000000000001E-2</v>
      </c>
      <c r="AF25" s="296">
        <f>AE25*'Molecular Weights'!$B$12/AF79</f>
        <v>4.9622786137280911E-2</v>
      </c>
      <c r="AG25" s="202">
        <v>1.0388E-2</v>
      </c>
      <c r="AH25" s="296">
        <f>AG25*'Molecular Weights'!$B$12/AH79</f>
        <v>2.6018125926337381E-2</v>
      </c>
      <c r="AI25" s="202">
        <v>5.6875000000000002E-2</v>
      </c>
      <c r="AJ25" s="296">
        <f>AI25*'Molecular Weights'!$B$12/AJ79</f>
        <v>0.11595964608528324</v>
      </c>
      <c r="AK25" s="202">
        <v>0.100076</v>
      </c>
      <c r="AL25" s="296">
        <f>AK25*'Molecular Weights'!$B$12/AL79</f>
        <v>0.17960147923254655</v>
      </c>
      <c r="AM25" s="24">
        <f t="shared" si="0"/>
        <v>2.6574947368421049E-2</v>
      </c>
      <c r="AN25" s="24">
        <f>AM25*'Molecular Weights'!$B$12/AN79</f>
        <v>6.4738393799724056E-2</v>
      </c>
      <c r="AO25" s="300">
        <f t="shared" si="1"/>
        <v>6.5275765300412458E-2</v>
      </c>
      <c r="AP25" s="358">
        <f t="shared" si="2"/>
        <v>4.5628294638974547E-2</v>
      </c>
    </row>
    <row r="26" spans="1:42" x14ac:dyDescent="0.35">
      <c r="A26" s="17">
        <v>491</v>
      </c>
      <c r="B26" s="293" t="s">
        <v>130</v>
      </c>
      <c r="C26" s="212">
        <v>6.0999999999999999E-5</v>
      </c>
      <c r="D26" s="103">
        <f>C26*'Molecular Weights'!$B$13/D79</f>
        <v>2.1291697195291193E-4</v>
      </c>
      <c r="E26" s="212">
        <v>5.5999999999999999E-5</v>
      </c>
      <c r="F26" s="103">
        <f>E26*'Molecular Weights'!$B$13/F79</f>
        <v>1.9544660509220445E-4</v>
      </c>
      <c r="G26" s="212">
        <v>2.8299999999999999E-4</v>
      </c>
      <c r="H26" s="103">
        <f>G26*'Molecular Weights'!$B$13/H79</f>
        <v>9.6893022135149563E-4</v>
      </c>
      <c r="I26" s="212">
        <v>4.0270000000000002E-3</v>
      </c>
      <c r="J26" s="199">
        <f>I26*'Molecular Weights'!$B$13/J79</f>
        <v>1.1887787770202879E-2</v>
      </c>
      <c r="K26" s="212">
        <v>3.6400000000000001E-4</v>
      </c>
      <c r="L26" s="103">
        <f>K26*'Molecular Weights'!$B$13/L79</f>
        <v>1.2363773631167577E-3</v>
      </c>
      <c r="M26" s="212">
        <v>1.8100000000000001E-4</v>
      </c>
      <c r="N26" s="103">
        <f>M26*'Molecular Weights'!$B$13/N79</f>
        <v>6.2366046927530769E-4</v>
      </c>
      <c r="O26" s="240">
        <v>3.0330000000000001E-3</v>
      </c>
      <c r="P26" s="103">
        <f>O26*'Molecular Weights'!$B$13/P79</f>
        <v>9.1895649976988167E-3</v>
      </c>
      <c r="Q26" s="230">
        <v>5.0159999999999996E-3</v>
      </c>
      <c r="R26" s="103">
        <f>Q26*'Molecular Weights'!$B$13/R79</f>
        <v>1.4311639581030586E-2</v>
      </c>
      <c r="S26" s="230">
        <v>4.2220000000000001E-3</v>
      </c>
      <c r="T26" s="103">
        <f>S26*'Molecular Weights'!$B$13/T79</f>
        <v>1.2437796360628297E-2</v>
      </c>
      <c r="U26" s="230">
        <v>5.0169999999999998E-3</v>
      </c>
      <c r="V26" s="103">
        <f>U26*'Molecular Weights'!$B$13/V79</f>
        <v>1.4312553362003582E-2</v>
      </c>
      <c r="W26" s="230">
        <v>5.4279999999999997E-3</v>
      </c>
      <c r="X26" s="103">
        <f>W26*'Molecular Weights'!$B$13/X79</f>
        <v>1.520514739092734E-2</v>
      </c>
      <c r="Y26" s="230">
        <v>4.2230000000000002E-3</v>
      </c>
      <c r="Z26" s="103">
        <f>Y26*'Molecular Weights'!$B$13/Z79</f>
        <v>1.2582835585334325E-2</v>
      </c>
      <c r="AA26" s="230">
        <v>2.3089999999999999E-3</v>
      </c>
      <c r="AB26" s="103">
        <f>AA26*'Molecular Weights'!$B$13/AB79</f>
        <v>7.2864643477852506E-3</v>
      </c>
      <c r="AC26" s="212">
        <v>3.5179999999999999E-3</v>
      </c>
      <c r="AD26" s="103">
        <f>AC26*'Molecular Weights'!$B$13/AD79</f>
        <v>1.0610056056051724E-2</v>
      </c>
      <c r="AE26" s="212">
        <v>2.6779999999999998E-3</v>
      </c>
      <c r="AF26" s="103">
        <f>AE26*'Molecular Weights'!$B$13/AF79</f>
        <v>8.3853396534297551E-3</v>
      </c>
      <c r="AG26" s="212">
        <v>1.243E-3</v>
      </c>
      <c r="AH26" s="103">
        <f>AG26*'Molecular Weights'!$B$13/AH79</f>
        <v>4.103569471570318E-3</v>
      </c>
      <c r="AI26" s="212">
        <v>5.7429999999999998E-3</v>
      </c>
      <c r="AJ26" s="103">
        <f>AI26*'Molecular Weights'!$B$13/AJ79</f>
        <v>1.5433729313085806E-2</v>
      </c>
      <c r="AK26" s="212">
        <v>1.0827E-2</v>
      </c>
      <c r="AL26" s="103">
        <f>AK26*'Molecular Weights'!$B$13/AL79</f>
        <v>2.5611481371094095E-2</v>
      </c>
      <c r="AM26" s="24">
        <f t="shared" si="0"/>
        <v>3.0646842105263158E-3</v>
      </c>
      <c r="AN26" s="24">
        <f>AM26*'Molecular Weights'!$B$13/AN79</f>
        <v>9.8406056661845074E-3</v>
      </c>
      <c r="AO26" s="300">
        <f t="shared" si="1"/>
        <v>9.9222892039454169E-3</v>
      </c>
      <c r="AP26" s="358">
        <f t="shared" si="2"/>
        <v>6.964110868672894E-3</v>
      </c>
    </row>
    <row r="27" spans="1:42" ht="15" thickBot="1" x14ac:dyDescent="0.4">
      <c r="A27" s="17">
        <v>592</v>
      </c>
      <c r="B27" s="299" t="s">
        <v>131</v>
      </c>
      <c r="C27" s="208">
        <v>2.12E-4</v>
      </c>
      <c r="D27" s="62">
        <f>C27*'Molecular Weights'!$B$14/D79</f>
        <v>7.3997373859044802E-4</v>
      </c>
      <c r="E27" s="208">
        <v>1.55E-4</v>
      </c>
      <c r="F27" s="62">
        <f>E27*'Molecular Weights'!$B$14/F79</f>
        <v>5.4096828195163724E-4</v>
      </c>
      <c r="G27" s="208">
        <v>4.2999999999999999E-4</v>
      </c>
      <c r="H27" s="62">
        <f>G27*'Molecular Weights'!$B$14/H79</f>
        <v>1.472226131382131E-3</v>
      </c>
      <c r="I27" s="208">
        <v>6.8269999999999997E-3</v>
      </c>
      <c r="J27" s="64">
        <f>I27*'Molecular Weights'!$B$14/J79</f>
        <v>2.0153446016184517E-2</v>
      </c>
      <c r="K27" s="208">
        <v>5.9699999999999998E-4</v>
      </c>
      <c r="L27" s="62">
        <f>K27*'Molecular Weights'!$B$14/L79</f>
        <v>2.0277947411557807E-3</v>
      </c>
      <c r="M27" s="208">
        <v>3.2499999999999999E-4</v>
      </c>
      <c r="N27" s="62">
        <f>M27*'Molecular Weights'!$B$14/N79</f>
        <v>1.1198323343341158E-3</v>
      </c>
      <c r="O27" s="248">
        <v>5.3699999999999998E-3</v>
      </c>
      <c r="P27" s="62">
        <f>O27*'Molecular Weights'!$B$14/P79</f>
        <v>1.6270347523126491E-2</v>
      </c>
      <c r="Q27" s="249">
        <v>9.4979999999999995E-3</v>
      </c>
      <c r="R27" s="62">
        <f>Q27*'Molecular Weights'!$B$14/R79</f>
        <v>2.7099671599008873E-2</v>
      </c>
      <c r="S27" s="249">
        <v>6.9769999999999997E-3</v>
      </c>
      <c r="T27" s="62">
        <f>S27*'Molecular Weights'!$B$14/T79</f>
        <v>2.0553885648532357E-2</v>
      </c>
      <c r="U27" s="249">
        <v>9.5549999999999993E-3</v>
      </c>
      <c r="V27" s="62">
        <f>U27*'Molecular Weights'!$B$14/V79</f>
        <v>2.7258610200108481E-2</v>
      </c>
      <c r="W27" s="249">
        <v>1.0659E-2</v>
      </c>
      <c r="X27" s="62">
        <f>W27*'Molecular Weights'!$B$14/X79</f>
        <v>2.9858449896811811E-2</v>
      </c>
      <c r="Y27" s="249">
        <v>6.6649999999999999E-3</v>
      </c>
      <c r="Z27" s="62">
        <f>Y27*'Molecular Weights'!$B$14/Z79</f>
        <v>1.9859009987272858E-2</v>
      </c>
      <c r="AA27" s="249">
        <v>3.2209999999999999E-3</v>
      </c>
      <c r="AB27" s="62">
        <f>AA27*'Molecular Weights'!$B$14/AB79</f>
        <v>1.0164444202778818E-2</v>
      </c>
      <c r="AC27" s="208">
        <v>5.7200000000000003E-3</v>
      </c>
      <c r="AD27" s="62">
        <f>AC27*'Molecular Weights'!$B$14/AD79</f>
        <v>1.7251142876809514E-2</v>
      </c>
      <c r="AE27" s="208">
        <v>3.8080000000000002E-3</v>
      </c>
      <c r="AF27" s="62">
        <f>AE27*'Molecular Weights'!$B$14/AF79</f>
        <v>1.1923589768581221E-2</v>
      </c>
      <c r="AG27" s="208">
        <v>1.4250000000000001E-3</v>
      </c>
      <c r="AH27" s="62">
        <f>AG27*'Molecular Weights'!$B$14/AH79</f>
        <v>4.7044139155170582E-3</v>
      </c>
      <c r="AI27" s="208">
        <v>1.6586E-2</v>
      </c>
      <c r="AJ27" s="62">
        <f>AI27*'Molecular Weights'!$B$14/AJ79</f>
        <v>4.457319073425757E-2</v>
      </c>
      <c r="AK27" s="208">
        <v>2.8197E-2</v>
      </c>
      <c r="AL27" s="62">
        <f>AK27*'Molecular Weights'!$B$14/AL79</f>
        <v>6.6700557884985703E-2</v>
      </c>
      <c r="AM27" s="24">
        <f t="shared" si="0"/>
        <v>6.1172105263157892E-3</v>
      </c>
      <c r="AN27" s="24">
        <f>AM27*'Molecular Weights'!$B$14/AN79</f>
        <v>1.9642172710567358E-2</v>
      </c>
      <c r="AO27" s="300">
        <f t="shared" si="1"/>
        <v>1.9805215739699528E-2</v>
      </c>
      <c r="AP27" s="358">
        <f t="shared" si="2"/>
        <v>1.7313826378799965E-2</v>
      </c>
    </row>
    <row r="28" spans="1:42" x14ac:dyDescent="0.35">
      <c r="A28" s="17">
        <v>508</v>
      </c>
      <c r="B28" s="293" t="s">
        <v>133</v>
      </c>
      <c r="C28" s="212">
        <v>1.5E-5</v>
      </c>
      <c r="D28" s="103">
        <f>C28*'Molecular Weights'!$B$15/D79</f>
        <v>6.499181304202215E-5</v>
      </c>
      <c r="E28" s="212">
        <v>1.5E-5</v>
      </c>
      <c r="F28" s="103">
        <f>E28*'Molecular Weights'!$B$15/F79</f>
        <v>6.4985776177532947E-5</v>
      </c>
      <c r="G28" s="212">
        <v>5.8900000000000002E-5</v>
      </c>
      <c r="H28" s="103">
        <f>G28*'Molecular Weights'!$B$15/H79</f>
        <v>2.5032735378823564E-4</v>
      </c>
      <c r="I28" s="212">
        <v>1.9849999999999998E-3</v>
      </c>
      <c r="J28" s="199">
        <f>I28*'Molecular Weights'!$B$15/J79</f>
        <v>7.273892390969019E-3</v>
      </c>
      <c r="K28" s="212">
        <v>8.5000000000000006E-5</v>
      </c>
      <c r="L28" s="103">
        <f>K28*'Molecular Weights'!$B$15/L79</f>
        <v>3.5838971202250901E-4</v>
      </c>
      <c r="M28" s="212">
        <v>3.4999999999999997E-5</v>
      </c>
      <c r="N28" s="103">
        <f>M28*'Molecular Weights'!$B$15/N79</f>
        <v>1.497009767186297E-4</v>
      </c>
      <c r="O28" s="240">
        <v>1.2229999999999999E-3</v>
      </c>
      <c r="P28" s="103">
        <f>O28*'Molecular Weights'!$B$15/P79</f>
        <v>4.5997682145882323E-3</v>
      </c>
      <c r="Q28" s="230">
        <v>2.3319999999999999E-3</v>
      </c>
      <c r="R28" s="103">
        <f>Q28*'Molecular Weights'!$B$15/R79</f>
        <v>8.2593782575070968E-3</v>
      </c>
      <c r="S28" s="230">
        <v>1.753E-3</v>
      </c>
      <c r="T28" s="103">
        <f>S28*'Molecular Weights'!$B$15/T79</f>
        <v>6.4105320580239737E-3</v>
      </c>
      <c r="U28" s="230">
        <v>2.346E-3</v>
      </c>
      <c r="V28" s="103">
        <f>U28*'Molecular Weights'!$B$15/V79</f>
        <v>8.3078371110292485E-3</v>
      </c>
      <c r="W28" s="230">
        <v>3.0869999999999999E-3</v>
      </c>
      <c r="X28" s="103">
        <f>W28*'Molecular Weights'!$B$15/X79</f>
        <v>1.0734315902122663E-2</v>
      </c>
      <c r="Y28" s="230">
        <v>1.951E-3</v>
      </c>
      <c r="Z28" s="103">
        <f>Y28*'Molecular Weights'!$B$15/Z79</f>
        <v>7.2160852806123421E-3</v>
      </c>
      <c r="AA28" s="230">
        <v>9.1100000000000003E-4</v>
      </c>
      <c r="AB28" s="199">
        <f>AA28*'Molecular Weights'!$B$15/AB79</f>
        <v>3.5686029944568803E-3</v>
      </c>
      <c r="AC28" s="212">
        <v>1.583E-3</v>
      </c>
      <c r="AD28" s="103">
        <f>AC28*'Molecular Weights'!$B$15/AD79</f>
        <v>5.926382870619455E-3</v>
      </c>
      <c r="AE28" s="212">
        <v>1.0460000000000001E-3</v>
      </c>
      <c r="AF28" s="103">
        <f>AE28*'Molecular Weights'!$B$15/AF79</f>
        <v>4.0656381016282587E-3</v>
      </c>
      <c r="AG28" s="212">
        <v>3.6200000000000002E-4</v>
      </c>
      <c r="AH28" s="103">
        <f>AG28*'Molecular Weights'!$B$15/AH79</f>
        <v>1.4834953158555479E-3</v>
      </c>
      <c r="AI28" s="212">
        <v>3.3210000000000002E-3</v>
      </c>
      <c r="AJ28" s="103">
        <f>AI28*'Molecular Weights'!$B$15/AJ79</f>
        <v>1.1078676616022076E-2</v>
      </c>
      <c r="AK28" s="212">
        <v>5.0439999999999999E-3</v>
      </c>
      <c r="AL28" s="103">
        <f>AK28*'Molecular Weights'!$B$15/AL79</f>
        <v>1.4811143415410514E-2</v>
      </c>
      <c r="AM28" s="24">
        <f t="shared" si="0"/>
        <v>1.4291000000000002E-3</v>
      </c>
      <c r="AN28" s="24">
        <f>AM28*'Molecular Weights'!$B$15/AN79</f>
        <v>5.6962057085256671E-3</v>
      </c>
      <c r="AO28" s="300">
        <f t="shared" si="1"/>
        <v>5.7434879846242955E-3</v>
      </c>
      <c r="AP28" s="358">
        <f t="shared" si="2"/>
        <v>4.4137749809521863E-3</v>
      </c>
    </row>
    <row r="29" spans="1:42" x14ac:dyDescent="0.35">
      <c r="A29" s="17">
        <v>605</v>
      </c>
      <c r="B29" s="315" t="s">
        <v>134</v>
      </c>
      <c r="C29" s="114">
        <v>1.4E-5</v>
      </c>
      <c r="D29" s="49">
        <f>C29*'Molecular Weights'!$B$16/D79</f>
        <v>6.0659025505887336E-5</v>
      </c>
      <c r="E29" s="114">
        <v>1.5999999999999999E-5</v>
      </c>
      <c r="F29" s="49">
        <f>E29*'Molecular Weights'!$B$16/F79</f>
        <v>6.9318161256035139E-5</v>
      </c>
      <c r="G29" s="114">
        <v>3.4E-5</v>
      </c>
      <c r="H29" s="49">
        <f>G29*'Molecular Weights'!$B$16/H79</f>
        <v>1.4450135872325998E-4</v>
      </c>
      <c r="I29" s="114">
        <v>1.684E-3</v>
      </c>
      <c r="J29" s="221">
        <f>I29*'Molecular Weights'!$B$16/J79</f>
        <v>6.170899136721324E-3</v>
      </c>
      <c r="K29" s="114">
        <v>5.3000000000000001E-5</v>
      </c>
      <c r="L29" s="49">
        <f>K29*'Molecular Weights'!$B$16/L79</f>
        <v>2.2346652631991738E-4</v>
      </c>
      <c r="M29" s="114">
        <v>2.3E-5</v>
      </c>
      <c r="N29" s="49">
        <f>M29*'Molecular Weights'!$B$16/N79</f>
        <v>9.8374927557956662E-5</v>
      </c>
      <c r="O29" s="238">
        <v>1.0399999999999999E-3</v>
      </c>
      <c r="P29" s="49">
        <f>O29*'Molecular Weights'!$B$16/P79</f>
        <v>3.9114954563955525E-3</v>
      </c>
      <c r="Q29" s="222">
        <v>2.1350000000000002E-3</v>
      </c>
      <c r="R29" s="49">
        <f>Q29*'Molecular Weights'!$B$16/R79</f>
        <v>7.5616520496473655E-3</v>
      </c>
      <c r="S29" s="222">
        <v>1.356E-3</v>
      </c>
      <c r="T29" s="49">
        <f>S29*'Molecular Weights'!$B$16/T79</f>
        <v>4.9587458475074207E-3</v>
      </c>
      <c r="U29" s="222">
        <v>2.1510000000000001E-3</v>
      </c>
      <c r="V29" s="49">
        <f>U29*'Molecular Weights'!$B$16/V79</f>
        <v>7.6172879905472782E-3</v>
      </c>
      <c r="W29" s="222">
        <v>2.9979999999999998E-3</v>
      </c>
      <c r="X29" s="49">
        <f>W29*'Molecular Weights'!$B$16/X79</f>
        <v>1.0424839350360784E-2</v>
      </c>
      <c r="Y29" s="222">
        <v>1.4499999999999999E-3</v>
      </c>
      <c r="Z29" s="49">
        <f>Y29*'Molecular Weights'!$B$16/Z79</f>
        <v>5.363056718035825E-3</v>
      </c>
      <c r="AA29" s="222">
        <v>5.5500000000000005E-4</v>
      </c>
      <c r="AB29" s="221">
        <f>AA29*'Molecular Weights'!$B$16/AB79</f>
        <v>2.1740665882805364E-3</v>
      </c>
      <c r="AC29" s="114">
        <v>1.1999999999999999E-3</v>
      </c>
      <c r="AD29" s="49">
        <f>AC29*'Molecular Weights'!$B$16/AD79</f>
        <v>4.4925201798757704E-3</v>
      </c>
      <c r="AE29" s="114">
        <v>6.8300000000000001E-4</v>
      </c>
      <c r="AF29" s="49">
        <f>AE29*'Molecular Weights'!$B$16/AF79</f>
        <v>2.6547139803174955E-3</v>
      </c>
      <c r="AG29" s="114">
        <v>1.83E-4</v>
      </c>
      <c r="AH29" s="49">
        <f>AG29*'Molecular Weights'!$B$16/AH79</f>
        <v>7.4994376464520792E-4</v>
      </c>
      <c r="AI29" s="114">
        <v>4.9399999999999999E-3</v>
      </c>
      <c r="AJ29" s="49">
        <f>AI29*'Molecular Weights'!$B$16/AJ79</f>
        <v>1.6479573165657648E-2</v>
      </c>
      <c r="AK29" s="114">
        <v>6.5199999999999998E-3</v>
      </c>
      <c r="AL29" s="49">
        <f>AK29*'Molecular Weights'!$B$16/AL79</f>
        <v>1.9145252789150784E-2</v>
      </c>
      <c r="AM29" s="24">
        <f t="shared" si="0"/>
        <v>1.422894736842105E-3</v>
      </c>
      <c r="AN29" s="24">
        <f>AM29*'Molecular Weights'!$B$16/AN79</f>
        <v>5.6714723410755882E-3</v>
      </c>
      <c r="AO29" s="300">
        <f t="shared" si="1"/>
        <v>5.7185493138603161E-3</v>
      </c>
      <c r="AP29" s="358">
        <f t="shared" si="2"/>
        <v>5.5732441313439823E-3</v>
      </c>
    </row>
    <row r="30" spans="1:42" ht="15" thickBot="1" x14ac:dyDescent="0.4">
      <c r="A30" s="17">
        <v>390</v>
      </c>
      <c r="B30" s="291" t="s">
        <v>136</v>
      </c>
      <c r="C30" s="327">
        <v>0</v>
      </c>
      <c r="D30" s="119">
        <f>C30*'Molecular Weights'!$B$17/D79</f>
        <v>0</v>
      </c>
      <c r="E30" s="113">
        <v>0</v>
      </c>
      <c r="F30" s="119">
        <f>E30*'Molecular Weights'!$B$17/F79</f>
        <v>0</v>
      </c>
      <c r="G30" s="113">
        <v>0</v>
      </c>
      <c r="H30" s="119">
        <f>G30*'Molecular Weights'!$B$17/H79</f>
        <v>0</v>
      </c>
      <c r="I30" s="113">
        <v>0</v>
      </c>
      <c r="J30" s="57">
        <f>I30*'Molecular Weights'!$B$17/J79</f>
        <v>0</v>
      </c>
      <c r="K30" s="133">
        <v>1.9999999999999999E-6</v>
      </c>
      <c r="L30" s="119">
        <f>K30*'Molecular Weights'!$B$17/L79</f>
        <v>8.4326991064119753E-6</v>
      </c>
      <c r="M30" s="117">
        <v>0</v>
      </c>
      <c r="N30" s="119">
        <f>M30*'Molecular Weights'!$B$17/N79</f>
        <v>0</v>
      </c>
      <c r="O30" s="216">
        <v>0</v>
      </c>
      <c r="P30" s="119">
        <f>O30*'Molecular Weights'!$B$17/P79</f>
        <v>0</v>
      </c>
      <c r="Q30" s="113">
        <v>0</v>
      </c>
      <c r="R30" s="49">
        <f>Q30*'Molecular Weights'!$B$17/R79</f>
        <v>0</v>
      </c>
      <c r="S30" s="113">
        <v>0</v>
      </c>
      <c r="T30" s="49">
        <f>S30*'Molecular Weights'!$B$17/T79</f>
        <v>0</v>
      </c>
      <c r="U30" s="113">
        <v>0</v>
      </c>
      <c r="V30" s="49">
        <f>U30*'Molecular Weights'!$B$17/V79</f>
        <v>0</v>
      </c>
      <c r="W30" s="113">
        <v>0</v>
      </c>
      <c r="X30" s="49">
        <f>W30*'Molecular Weights'!$B$17/X79</f>
        <v>0</v>
      </c>
      <c r="Y30" s="113">
        <v>0</v>
      </c>
      <c r="Z30" s="49">
        <f>Y30*'Molecular Weights'!$B$17/Z79</f>
        <v>0</v>
      </c>
      <c r="AA30" s="215">
        <v>0</v>
      </c>
      <c r="AB30" s="57">
        <f>AA30*'Molecular Weights'!$B$17/AB79</f>
        <v>0</v>
      </c>
      <c r="AC30" s="215">
        <v>0</v>
      </c>
      <c r="AD30" s="119">
        <f>AC30*'Molecular Weights'!$B$17/AD79</f>
        <v>0</v>
      </c>
      <c r="AE30" s="215">
        <v>0</v>
      </c>
      <c r="AF30" s="119">
        <f>AE30*'Molecular Weights'!$B$17/AF79</f>
        <v>0</v>
      </c>
      <c r="AG30" s="215">
        <v>0</v>
      </c>
      <c r="AH30" s="119">
        <f>AG30*'Molecular Weights'!$B$17/AH79</f>
        <v>0</v>
      </c>
      <c r="AI30" s="215">
        <v>0</v>
      </c>
      <c r="AJ30" s="119">
        <f>AI30*'Molecular Weights'!$B$17/AJ79</f>
        <v>0</v>
      </c>
      <c r="AK30" s="215">
        <v>0</v>
      </c>
      <c r="AL30" s="119">
        <f>AK30*'Molecular Weights'!$B$17/AL79</f>
        <v>0</v>
      </c>
      <c r="AM30" s="24">
        <f t="shared" si="0"/>
        <v>1.0526315789473683E-7</v>
      </c>
      <c r="AN30" s="24">
        <f>AM30*'Molecular Weights'!$B$17/AN79</f>
        <v>4.1956518151104789E-7</v>
      </c>
      <c r="AO30" s="300">
        <f t="shared" si="1"/>
        <v>4.2304785010988109E-7</v>
      </c>
      <c r="AP30" s="358">
        <f t="shared" si="2"/>
        <v>1.9876062406165502E-6</v>
      </c>
    </row>
    <row r="31" spans="1:42" x14ac:dyDescent="0.35">
      <c r="A31" s="17">
        <v>601</v>
      </c>
      <c r="B31" s="293" t="s">
        <v>140</v>
      </c>
      <c r="C31" s="112">
        <v>0</v>
      </c>
      <c r="D31" s="103">
        <f>C31*'Molecular Weights'!$B$19/D79</f>
        <v>0</v>
      </c>
      <c r="E31" s="112">
        <v>0</v>
      </c>
      <c r="F31" s="103">
        <f>E31*'Molecular Weights'!$B$19/F79</f>
        <v>0</v>
      </c>
      <c r="G31" s="112">
        <v>0</v>
      </c>
      <c r="H31" s="103">
        <f>G31*'Molecular Weights'!$B$19/H79</f>
        <v>0</v>
      </c>
      <c r="I31" s="212">
        <v>5.8799999999999998E-4</v>
      </c>
      <c r="J31" s="199">
        <f>I31*'Molecular Weights'!$B$19/J79</f>
        <v>2.5735807616836877E-3</v>
      </c>
      <c r="K31" s="212">
        <v>6.9999999999999999E-6</v>
      </c>
      <c r="L31" s="103">
        <f>K31*'Molecular Weights'!$B$19/L79</f>
        <v>3.5252405992638489E-5</v>
      </c>
      <c r="M31" s="212">
        <v>3.0000000000000001E-6</v>
      </c>
      <c r="N31" s="103">
        <f>M31*'Molecular Weights'!$B$19/N79</f>
        <v>1.5326110724944681E-5</v>
      </c>
      <c r="O31" s="240">
        <v>2.32E-4</v>
      </c>
      <c r="P31" s="103">
        <f>O31*'Molecular Weights'!$B$19/P79</f>
        <v>1.0422012513271221E-3</v>
      </c>
      <c r="Q31" s="230">
        <v>4.7600000000000002E-4</v>
      </c>
      <c r="R31" s="103">
        <f>Q31*'Molecular Weights'!$B$19/R79</f>
        <v>2.0136309476862365E-3</v>
      </c>
      <c r="S31" s="230">
        <v>3.0299999999999999E-4</v>
      </c>
      <c r="T31" s="103">
        <f>S31*'Molecular Weights'!$B$19/T79</f>
        <v>1.3234541598398451E-3</v>
      </c>
      <c r="U31" s="230">
        <v>4.46E-4</v>
      </c>
      <c r="V31" s="103">
        <f>U31*'Molecular Weights'!$B$19/V79</f>
        <v>1.886465809395876E-3</v>
      </c>
      <c r="W31" s="230">
        <v>1.0430000000000001E-3</v>
      </c>
      <c r="X31" s="103">
        <f>W31*'Molecular Weights'!$B$19/X79</f>
        <v>4.3318774876093839E-3</v>
      </c>
      <c r="Y31" s="230">
        <v>3.9199999999999999E-4</v>
      </c>
      <c r="Z31" s="103">
        <f>Y31*'Molecular Weights'!$B$19/Z79</f>
        <v>1.7317474998463189E-3</v>
      </c>
      <c r="AA31" s="324">
        <f>AA$81*'Molecular Weights'!$E19</f>
        <v>1.608958742632613E-4</v>
      </c>
      <c r="AB31" s="199">
        <f>AA31*'Molecular Weights'!$B$19/AB79</f>
        <v>7.5279873582953375E-4</v>
      </c>
      <c r="AC31" s="324">
        <f>AC$81*'Molecular Weights'!$E19</f>
        <v>3.3379436804191226E-4</v>
      </c>
      <c r="AD31" s="103">
        <f>AC31*'Molecular Weights'!$B$19/AD79</f>
        <v>1.4925947505197543E-3</v>
      </c>
      <c r="AE31" s="324">
        <f>AE$81*'Molecular Weights'!$E19</f>
        <v>1.8885134250163718E-4</v>
      </c>
      <c r="AF31" s="103">
        <f>AE31*'Molecular Weights'!$B$19/AF79</f>
        <v>8.7674081401056391E-4</v>
      </c>
      <c r="AG31" s="324">
        <f>AG$81*'Molecular Weights'!$E19</f>
        <v>3.7831041257367386E-5</v>
      </c>
      <c r="AH31" s="103">
        <f>AG31*'Molecular Weights'!$B$19/AH79</f>
        <v>1.8517400440884853E-4</v>
      </c>
      <c r="AI31" s="324">
        <f>AI$81*'Molecular Weights'!$E19</f>
        <v>7.8761493123772112E-4</v>
      </c>
      <c r="AJ31" s="103">
        <f>AI31*'Molecular Weights'!$B$19/AJ79</f>
        <v>3.1382465876737468E-3</v>
      </c>
      <c r="AK31" s="324">
        <f>AK$81*'Molecular Weights'!$E19</f>
        <v>8.0645448592010479E-4</v>
      </c>
      <c r="AL31" s="103">
        <f>AK31*'Molecular Weights'!$B$19/AL79</f>
        <v>2.8284433570977983E-3</v>
      </c>
      <c r="AM31" s="24">
        <f t="shared" si="0"/>
        <v>3.0554958122221078E-4</v>
      </c>
      <c r="AN31" s="24">
        <f>AM31*'Molecular Weights'!$B$19/AN79</f>
        <v>1.454651144110784E-3</v>
      </c>
      <c r="AO31" s="300">
        <f t="shared" si="1"/>
        <v>1.4667257110317238E-3</v>
      </c>
      <c r="AP31" s="358">
        <f t="shared" si="2"/>
        <v>1.2759458248759088E-3</v>
      </c>
    </row>
    <row r="32" spans="1:42" x14ac:dyDescent="0.35">
      <c r="A32" s="17">
        <v>2127</v>
      </c>
      <c r="B32" s="315" t="s">
        <v>143</v>
      </c>
      <c r="C32" s="113">
        <v>0</v>
      </c>
      <c r="D32" s="49">
        <f>C32*'Molecular Weights'!$B$20/D79</f>
        <v>0</v>
      </c>
      <c r="E32" s="215">
        <v>0</v>
      </c>
      <c r="F32" s="49">
        <f>E32*'Molecular Weights'!$B$20/F79</f>
        <v>0</v>
      </c>
      <c r="G32" s="215">
        <v>0</v>
      </c>
      <c r="H32" s="49">
        <f>G32*'Molecular Weights'!$B$20/H79</f>
        <v>0</v>
      </c>
      <c r="I32" s="222">
        <v>1.122E-3</v>
      </c>
      <c r="J32" s="221">
        <f>I32*'Molecular Weights'!$B$20/J79</f>
        <v>4.9108122697433627E-3</v>
      </c>
      <c r="K32" s="113">
        <v>0</v>
      </c>
      <c r="L32" s="49">
        <f>K32*'Molecular Weights'!$B$20/L79</f>
        <v>0</v>
      </c>
      <c r="M32" s="113">
        <v>0</v>
      </c>
      <c r="N32" s="49">
        <f>M32*'Molecular Weights'!$B$20/N79</f>
        <v>0</v>
      </c>
      <c r="O32" s="238">
        <v>1.0020000000000001E-3</v>
      </c>
      <c r="P32" s="49">
        <f>O32*'Molecular Weights'!$B$20/P79</f>
        <v>4.5012312665076567E-3</v>
      </c>
      <c r="Q32" s="222">
        <v>2.055E-3</v>
      </c>
      <c r="R32" s="49">
        <f>Q32*'Molecular Weights'!$B$20/R79</f>
        <v>8.6933016754101172E-3</v>
      </c>
      <c r="S32" s="222">
        <v>1.31E-3</v>
      </c>
      <c r="T32" s="49">
        <f>S32*'Molecular Weights'!$B$20/T79</f>
        <v>5.7218645194395948E-3</v>
      </c>
      <c r="U32" s="222">
        <v>1.9239999999999999E-3</v>
      </c>
      <c r="V32" s="49">
        <f>U32*'Molecular Weights'!$B$20/V79</f>
        <v>8.1380273929992485E-3</v>
      </c>
      <c r="W32" s="222">
        <v>4.5009999999999998E-3</v>
      </c>
      <c r="X32" s="49">
        <f>W32*'Molecular Weights'!$B$20/X79</f>
        <v>1.8693941104247207E-2</v>
      </c>
      <c r="Y32" s="222">
        <v>1.6930000000000001E-3</v>
      </c>
      <c r="Z32" s="49">
        <f>Y32*'Molecular Weights'!$B$20/Z79</f>
        <v>7.4792054011219855E-3</v>
      </c>
      <c r="AA32" s="105">
        <f>AA$81*'Molecular Weights'!$E20</f>
        <v>6.949037328094304E-4</v>
      </c>
      <c r="AB32" s="221">
        <f>AA32*'Molecular Weights'!$B$20/AB79</f>
        <v>3.2513117814706592E-3</v>
      </c>
      <c r="AC32" s="105">
        <f>AC$81*'Molecular Weights'!$E20</f>
        <v>1.4416463654223972E-3</v>
      </c>
      <c r="AD32" s="49">
        <f>AC32*'Molecular Weights'!$B$20/AD79</f>
        <v>6.4464652587103198E-3</v>
      </c>
      <c r="AE32" s="105">
        <f>AE$81*'Molecular Weights'!$E20</f>
        <v>8.1564243614931252E-4</v>
      </c>
      <c r="AF32" s="49">
        <f>AE32*'Molecular Weights'!$B$20/AF79</f>
        <v>3.7866133432697632E-3</v>
      </c>
      <c r="AG32" s="105">
        <f>AG$81*'Molecular Weights'!$E20</f>
        <v>1.633909626719057E-4</v>
      </c>
      <c r="AH32" s="49">
        <f>AG32*'Molecular Weights'!$B$20/AH79</f>
        <v>7.9976013973131988E-4</v>
      </c>
      <c r="AI32" s="105">
        <f>AI$81*'Molecular Weights'!$E20</f>
        <v>3.4016817288801578E-3</v>
      </c>
      <c r="AJ32" s="49">
        <f>AI32*'Molecular Weights'!$B$20/AJ79</f>
        <v>1.3553978796763337E-2</v>
      </c>
      <c r="AK32" s="105">
        <f>AK$81*'Molecular Weights'!$E20</f>
        <v>3.4830491159135567E-3</v>
      </c>
      <c r="AL32" s="49">
        <f>AK32*'Molecular Weights'!$B$20/AL79</f>
        <v>1.2215949326775838E-2</v>
      </c>
      <c r="AM32" s="24">
        <f t="shared" si="0"/>
        <v>1.2424902285182507E-3</v>
      </c>
      <c r="AN32" s="24">
        <f>AM32*'Molecular Weights'!$B$20/AN79</f>
        <v>5.9152096534739462E-3</v>
      </c>
      <c r="AO32" s="300">
        <f t="shared" si="1"/>
        <v>5.9643098072128141E-3</v>
      </c>
      <c r="AP32" s="358">
        <f t="shared" si="2"/>
        <v>5.3616956815381693E-3</v>
      </c>
    </row>
    <row r="33" spans="1:42" x14ac:dyDescent="0.35">
      <c r="A33" s="17">
        <v>302</v>
      </c>
      <c r="B33" s="228" t="s">
        <v>152</v>
      </c>
      <c r="C33" s="113">
        <v>0</v>
      </c>
      <c r="D33" s="49">
        <f>C33*'Molecular Weights'!$B$21/D79</f>
        <v>0</v>
      </c>
      <c r="E33" s="113">
        <v>0</v>
      </c>
      <c r="F33" s="49">
        <f>E33*'Molecular Weights'!$B$21/F79</f>
        <v>0</v>
      </c>
      <c r="G33" s="113">
        <v>0</v>
      </c>
      <c r="H33" s="49">
        <f>G33*'Molecular Weights'!$B$21/H79</f>
        <v>0</v>
      </c>
      <c r="I33" s="222">
        <v>1.5999999999999999E-5</v>
      </c>
      <c r="J33" s="221">
        <f>I33*'Molecular Weights'!$B$21/J79</f>
        <v>6.347668232052945E-5</v>
      </c>
      <c r="K33" s="114">
        <v>0</v>
      </c>
      <c r="L33" s="49">
        <f>K33*'Molecular Weights'!$B$21/L79</f>
        <v>0</v>
      </c>
      <c r="M33" s="114">
        <v>0</v>
      </c>
      <c r="N33" s="49">
        <f>M33*'Molecular Weights'!$B$21/N79</f>
        <v>0</v>
      </c>
      <c r="O33" s="238">
        <v>5.1999999999999997E-5</v>
      </c>
      <c r="P33" s="49">
        <f>O33*'Molecular Weights'!$B$21/P79</f>
        <v>2.1173892839954908E-4</v>
      </c>
      <c r="Q33" s="222">
        <v>1.07E-4</v>
      </c>
      <c r="R33" s="49">
        <f>Q33*'Molecular Weights'!$B$21/R79</f>
        <v>4.1028955789313652E-4</v>
      </c>
      <c r="S33" s="222">
        <v>6.7999999999999999E-5</v>
      </c>
      <c r="T33" s="49">
        <f>S33*'Molecular Weights'!$B$21/T79</f>
        <v>2.6922101008531224E-4</v>
      </c>
      <c r="U33" s="222">
        <v>1E-4</v>
      </c>
      <c r="V33" s="49">
        <f>U33*'Molecular Weights'!$B$21/V79</f>
        <v>3.8339623299654723E-4</v>
      </c>
      <c r="W33" s="222">
        <v>2.33E-4</v>
      </c>
      <c r="X33" s="49">
        <f>W33*'Molecular Weights'!$B$21/X79</f>
        <v>8.7716549590955827E-4</v>
      </c>
      <c r="Y33" s="222">
        <v>8.7999999999999998E-5</v>
      </c>
      <c r="Z33" s="49">
        <f>Y33*'Molecular Weights'!$B$21/Z79</f>
        <v>3.5238298997090862E-4</v>
      </c>
      <c r="AA33" s="105">
        <f>AA$81*'Molecular Weights'!$E21</f>
        <v>3.6062868369351674E-5</v>
      </c>
      <c r="AB33" s="221">
        <f>AA33*'Molecular Weights'!$B$21/AB79</f>
        <v>1.5294243546734132E-4</v>
      </c>
      <c r="AC33" s="105">
        <f>AC$81*'Molecular Weights'!$E21</f>
        <v>7.4815979043876889E-5</v>
      </c>
      <c r="AD33" s="49">
        <f>AC33*'Molecular Weights'!$B$21/AD79</f>
        <v>3.0324317170738802E-4</v>
      </c>
      <c r="AE33" s="105">
        <f>AE$81*'Molecular Weights'!$E21</f>
        <v>4.2328749181401437E-5</v>
      </c>
      <c r="AF33" s="49">
        <f>AE33*'Molecular Weights'!$B$21/AF79</f>
        <v>1.7812314100213757E-4</v>
      </c>
      <c r="AG33" s="105">
        <f>AG$81*'Molecular Weights'!$E21</f>
        <v>8.479371316306483E-6</v>
      </c>
      <c r="AH33" s="49">
        <f>AG33*'Molecular Weights'!$B$21/AH79</f>
        <v>3.7620896358601996E-5</v>
      </c>
      <c r="AI33" s="105">
        <f>AI$81*'Molecular Weights'!$E21</f>
        <v>1.7653438113948919E-4</v>
      </c>
      <c r="AJ33" s="49">
        <f>AI33*'Molecular Weights'!$B$21/AJ79</f>
        <v>6.3758220274772381E-4</v>
      </c>
      <c r="AK33" s="105">
        <f>AK$81*'Molecular Weights'!$E21</f>
        <v>1.807570399476097E-4</v>
      </c>
      <c r="AL33" s="49">
        <f>AK33*'Molecular Weights'!$B$21/AL79</f>
        <v>5.746409963604365E-4</v>
      </c>
      <c r="AM33" s="24">
        <f t="shared" si="0"/>
        <v>6.2262020473580819E-5</v>
      </c>
      <c r="AN33" s="24">
        <f>AM33*'Molecular Weights'!$B$21/AN79</f>
        <v>2.6867925274824477E-4</v>
      </c>
      <c r="AO33" s="300">
        <f t="shared" si="1"/>
        <v>2.7090946830935094E-4</v>
      </c>
      <c r="AP33" s="358">
        <f t="shared" si="2"/>
        <v>2.5603761320995615E-4</v>
      </c>
    </row>
    <row r="34" spans="1:42" x14ac:dyDescent="0.35">
      <c r="A34" s="17">
        <v>385</v>
      </c>
      <c r="B34" s="315" t="s">
        <v>142</v>
      </c>
      <c r="C34" s="113">
        <v>0</v>
      </c>
      <c r="D34" s="49">
        <f>C34*'Molecular Weights'!$B$22/D79</f>
        <v>0</v>
      </c>
      <c r="E34" s="316">
        <v>0</v>
      </c>
      <c r="F34" s="49">
        <f>E34*'Molecular Weights'!$B$22/F79</f>
        <v>0</v>
      </c>
      <c r="G34" s="316">
        <v>0</v>
      </c>
      <c r="H34" s="49">
        <f>G34*'Molecular Weights'!$B$22/H79</f>
        <v>0</v>
      </c>
      <c r="I34" s="222">
        <v>6.9999999999999994E-5</v>
      </c>
      <c r="J34" s="221">
        <f>I34*'Molecular Weights'!$B$22/J79</f>
        <v>2.9921161786697977E-4</v>
      </c>
      <c r="K34" s="114">
        <v>0</v>
      </c>
      <c r="L34" s="49">
        <f>K34*'Molecular Weights'!$B$22/L79</f>
        <v>0</v>
      </c>
      <c r="M34" s="114">
        <v>0</v>
      </c>
      <c r="N34" s="49">
        <f>M34*'Molecular Weights'!$B$22/N79</f>
        <v>0</v>
      </c>
      <c r="O34" s="216">
        <v>0</v>
      </c>
      <c r="P34" s="49">
        <f>O34*'Molecular Weights'!$B$22/P79</f>
        <v>0</v>
      </c>
      <c r="Q34" s="222">
        <v>0</v>
      </c>
      <c r="R34" s="49">
        <f>Q34*'Molecular Weights'!$B$22/R79</f>
        <v>0</v>
      </c>
      <c r="S34" s="113">
        <v>0</v>
      </c>
      <c r="T34" s="49">
        <f>S34*'Molecular Weights'!$B$22/T79</f>
        <v>0</v>
      </c>
      <c r="U34" s="113">
        <v>0</v>
      </c>
      <c r="V34" s="49">
        <f>U34*'Molecular Weights'!$B$22/V79</f>
        <v>0</v>
      </c>
      <c r="W34" s="113">
        <v>0</v>
      </c>
      <c r="X34" s="49">
        <f>W34*'Molecular Weights'!$B$22/X79</f>
        <v>0</v>
      </c>
      <c r="Y34" s="113">
        <v>0</v>
      </c>
      <c r="Z34" s="49">
        <f>Y34*'Molecular Weights'!$B$22/Z79</f>
        <v>0</v>
      </c>
      <c r="AA34" s="104">
        <f>AA$81*'Molecular Weights'!$E22</f>
        <v>0</v>
      </c>
      <c r="AB34" s="221">
        <f>AA34*'Molecular Weights'!$B$22/AB79</f>
        <v>0</v>
      </c>
      <c r="AC34" s="104">
        <f>AC$81*'Molecular Weights'!$E22</f>
        <v>0</v>
      </c>
      <c r="AD34" s="49">
        <f>AC34*'Molecular Weights'!$B$22/AD79</f>
        <v>0</v>
      </c>
      <c r="AE34" s="104">
        <f>AE$81*'Molecular Weights'!$E22</f>
        <v>0</v>
      </c>
      <c r="AF34" s="49">
        <f>AE34*'Molecular Weights'!$B$22/AF79</f>
        <v>0</v>
      </c>
      <c r="AG34" s="104">
        <f>AG$81*'Molecular Weights'!$E22</f>
        <v>0</v>
      </c>
      <c r="AH34" s="49">
        <f>AG34*'Molecular Weights'!$B$22/AH79</f>
        <v>0</v>
      </c>
      <c r="AI34" s="104">
        <f>AI$81*'Molecular Weights'!$E22</f>
        <v>0</v>
      </c>
      <c r="AJ34" s="49">
        <f>AI34*'Molecular Weights'!$B$22/AJ79</f>
        <v>0</v>
      </c>
      <c r="AK34" s="104">
        <f>AK$81*'Molecular Weights'!$E22</f>
        <v>0</v>
      </c>
      <c r="AL34" s="49">
        <f>AK34*'Molecular Weights'!$B$22/AL79</f>
        <v>0</v>
      </c>
      <c r="AM34" s="24">
        <f t="shared" si="0"/>
        <v>3.6842105263157892E-6</v>
      </c>
      <c r="AN34" s="24">
        <f>AM34*'Molecular Weights'!$B$22/AN79</f>
        <v>1.7129375750672972E-5</v>
      </c>
      <c r="AO34" s="300">
        <f t="shared" si="1"/>
        <v>1.7271560902523834E-5</v>
      </c>
      <c r="AP34" s="358">
        <f t="shared" si="2"/>
        <v>7.0524854667846441E-5</v>
      </c>
    </row>
    <row r="35" spans="1:42" x14ac:dyDescent="0.35">
      <c r="A35" s="354">
        <v>199</v>
      </c>
      <c r="B35" s="315" t="s">
        <v>328</v>
      </c>
      <c r="C35" s="316">
        <v>0</v>
      </c>
      <c r="D35" s="49">
        <f>C35*'Molecular Weights'!$B$24/D79</f>
        <v>0</v>
      </c>
      <c r="E35" s="113">
        <v>0</v>
      </c>
      <c r="F35" s="49">
        <f>E35*'Molecular Weights'!$B$24/F79</f>
        <v>0</v>
      </c>
      <c r="G35" s="113">
        <v>0</v>
      </c>
      <c r="H35" s="49">
        <f>G35*'Molecular Weights'!$B$24/H79</f>
        <v>0</v>
      </c>
      <c r="I35" s="113">
        <v>0</v>
      </c>
      <c r="J35" s="221">
        <f>I35*'Molecular Weights'!$B$24/J79</f>
        <v>0</v>
      </c>
      <c r="K35" s="114">
        <v>9.0000000000000002E-6</v>
      </c>
      <c r="L35" s="49">
        <f>K35*'Molecular Weights'!$B$24/L79</f>
        <v>4.4264256070087872E-5</v>
      </c>
      <c r="M35" s="118">
        <v>0</v>
      </c>
      <c r="N35" s="49">
        <f>M35*'Molecular Weights'!$B$24/N79</f>
        <v>0</v>
      </c>
      <c r="O35" s="216">
        <v>0</v>
      </c>
      <c r="P35" s="49">
        <f>O35*'Molecular Weights'!$B$24/P79</f>
        <v>0</v>
      </c>
      <c r="Q35" s="113">
        <v>0</v>
      </c>
      <c r="R35" s="49">
        <f>Q35*'Molecular Weights'!$B$24/R79</f>
        <v>0</v>
      </c>
      <c r="S35" s="113">
        <v>0</v>
      </c>
      <c r="T35" s="49">
        <f>S35*'Molecular Weights'!$B$24/T79</f>
        <v>0</v>
      </c>
      <c r="U35" s="113">
        <v>0</v>
      </c>
      <c r="V35" s="49">
        <f>U35*'Molecular Weights'!$B$24/V79</f>
        <v>0</v>
      </c>
      <c r="W35" s="113">
        <v>0</v>
      </c>
      <c r="X35" s="49">
        <f>W35*'Molecular Weights'!$B$24/X79</f>
        <v>0</v>
      </c>
      <c r="Y35" s="113">
        <v>0</v>
      </c>
      <c r="Z35" s="49">
        <f>Y35*'Molecular Weights'!$B$24/Z79</f>
        <v>0</v>
      </c>
      <c r="AA35" s="104">
        <f>AA$81*'Molecular Weights'!$E24</f>
        <v>0</v>
      </c>
      <c r="AB35" s="221">
        <f>AA35*'Molecular Weights'!$B$24/AB79</f>
        <v>0</v>
      </c>
      <c r="AC35" s="104">
        <f>AC$81*'Molecular Weights'!$E24</f>
        <v>0</v>
      </c>
      <c r="AD35" s="49">
        <f>AC35*'Molecular Weights'!$B$24/AD79</f>
        <v>0</v>
      </c>
      <c r="AE35" s="104">
        <f>AE$81*'Molecular Weights'!$E24</f>
        <v>0</v>
      </c>
      <c r="AF35" s="49">
        <f>AE35*'Molecular Weights'!$B$24/AF79</f>
        <v>0</v>
      </c>
      <c r="AG35" s="104">
        <f>AG$81*'Molecular Weights'!$E24</f>
        <v>0</v>
      </c>
      <c r="AH35" s="49">
        <f>AG35*'Molecular Weights'!$B$24/AH79</f>
        <v>0</v>
      </c>
      <c r="AI35" s="104">
        <f>AI$81*'Molecular Weights'!$E24</f>
        <v>0</v>
      </c>
      <c r="AJ35" s="49">
        <f>AI35*'Molecular Weights'!$B$24/AJ79</f>
        <v>0</v>
      </c>
      <c r="AK35" s="104">
        <f>AK$81*'Molecular Weights'!$E24</f>
        <v>0</v>
      </c>
      <c r="AL35" s="49">
        <f>AK35*'Molecular Weights'!$B$24/AL79</f>
        <v>0</v>
      </c>
      <c r="AM35" s="24">
        <f t="shared" si="0"/>
        <v>4.736842105263158E-7</v>
      </c>
      <c r="AN35" s="24">
        <f>AM35*'Molecular Weights'!$B$24/AN79</f>
        <v>2.202348310800811E-6</v>
      </c>
      <c r="AO35" s="300">
        <f t="shared" si="1"/>
        <v>2.220629258895922E-6</v>
      </c>
      <c r="AP35" s="358">
        <f t="shared" si="2"/>
        <v>1.0433185210445647E-5</v>
      </c>
    </row>
    <row r="36" spans="1:42" x14ac:dyDescent="0.35">
      <c r="A36" s="354">
        <v>248</v>
      </c>
      <c r="B36" s="315" t="s">
        <v>327</v>
      </c>
      <c r="C36" s="316">
        <v>0</v>
      </c>
      <c r="D36" s="49">
        <f>C36*'Molecular Weights'!$B$25/D79</f>
        <v>0</v>
      </c>
      <c r="E36" s="113">
        <v>0</v>
      </c>
      <c r="F36" s="49">
        <f>E36*'Molecular Weights'!$B$25/F79</f>
        <v>0</v>
      </c>
      <c r="G36" s="113">
        <v>0</v>
      </c>
      <c r="H36" s="49">
        <f>G36*'Molecular Weights'!$B$25/H79</f>
        <v>0</v>
      </c>
      <c r="I36" s="113">
        <v>0</v>
      </c>
      <c r="J36" s="221">
        <f>I36*'Molecular Weights'!$B$25/J79</f>
        <v>0</v>
      </c>
      <c r="K36" s="114">
        <v>6.0000000000000002E-6</v>
      </c>
      <c r="L36" s="49">
        <f>K36*'Molecular Weights'!$B$25/L79</f>
        <v>2.9509504046725251E-5</v>
      </c>
      <c r="M36" s="118">
        <v>3.0000000000000001E-6</v>
      </c>
      <c r="N36" s="49">
        <f>M36*'Molecular Weights'!$B$25/N79</f>
        <v>1.4967590608658524E-5</v>
      </c>
      <c r="O36" s="216">
        <v>0</v>
      </c>
      <c r="P36" s="49">
        <f>O36*'Molecular Weights'!$B$25/P79</f>
        <v>0</v>
      </c>
      <c r="Q36" s="113">
        <v>0</v>
      </c>
      <c r="R36" s="49">
        <f>Q36*'Molecular Weights'!$B$25/R79</f>
        <v>0</v>
      </c>
      <c r="S36" s="113">
        <v>0</v>
      </c>
      <c r="T36" s="49">
        <f>S36*'Molecular Weights'!$B$25/T79</f>
        <v>0</v>
      </c>
      <c r="U36" s="113">
        <v>0</v>
      </c>
      <c r="V36" s="49">
        <f>U36*'Molecular Weights'!$B$25/V79</f>
        <v>0</v>
      </c>
      <c r="W36" s="113">
        <v>0</v>
      </c>
      <c r="X36" s="49">
        <f>W36*'Molecular Weights'!$B$25/X79</f>
        <v>0</v>
      </c>
      <c r="Y36" s="113">
        <v>0</v>
      </c>
      <c r="Z36" s="49">
        <f>Y36*'Molecular Weights'!$B$25/Z79</f>
        <v>0</v>
      </c>
      <c r="AA36" s="104">
        <f>AA$81*'Molecular Weights'!$E25</f>
        <v>0</v>
      </c>
      <c r="AB36" s="221">
        <f>AA36*'Molecular Weights'!$B$25/AB79</f>
        <v>0</v>
      </c>
      <c r="AC36" s="104">
        <f>AC$81*'Molecular Weights'!$E25</f>
        <v>0</v>
      </c>
      <c r="AD36" s="49">
        <f>AC36*'Molecular Weights'!$B$25/AD79</f>
        <v>0</v>
      </c>
      <c r="AE36" s="104">
        <f>AE$81*'Molecular Weights'!$E25</f>
        <v>0</v>
      </c>
      <c r="AF36" s="49">
        <f>AE36*'Molecular Weights'!$B$25/AF79</f>
        <v>0</v>
      </c>
      <c r="AG36" s="104">
        <f>AG$81*'Molecular Weights'!$E25</f>
        <v>0</v>
      </c>
      <c r="AH36" s="49">
        <f>AG36*'Molecular Weights'!$B$25/AH79</f>
        <v>0</v>
      </c>
      <c r="AI36" s="104">
        <f>AI$81*'Molecular Weights'!$E25</f>
        <v>0</v>
      </c>
      <c r="AJ36" s="49">
        <f>AI36*'Molecular Weights'!$B$25/AJ79</f>
        <v>0</v>
      </c>
      <c r="AK36" s="104">
        <f>AK$81*'Molecular Weights'!$E25</f>
        <v>0</v>
      </c>
      <c r="AL36" s="49">
        <f>AK36*'Molecular Weights'!$B$25/AL79</f>
        <v>0</v>
      </c>
      <c r="AM36" s="24">
        <f t="shared" si="0"/>
        <v>4.736842105263158E-7</v>
      </c>
      <c r="AN36" s="24">
        <f>AM36*'Molecular Weights'!$B$25/AN79</f>
        <v>2.202348310800811E-6</v>
      </c>
      <c r="AO36" s="300">
        <f t="shared" si="1"/>
        <v>2.220629258895922E-6</v>
      </c>
      <c r="AP36" s="358">
        <f t="shared" si="2"/>
        <v>7.611674214380301E-6</v>
      </c>
    </row>
    <row r="37" spans="1:42" x14ac:dyDescent="0.35">
      <c r="A37" s="354">
        <v>122</v>
      </c>
      <c r="B37" s="315" t="s">
        <v>326</v>
      </c>
      <c r="C37" s="316">
        <v>0</v>
      </c>
      <c r="D37" s="49">
        <f>C37*'Molecular Weights'!$B$26/D79</f>
        <v>0</v>
      </c>
      <c r="E37" s="113">
        <v>0</v>
      </c>
      <c r="F37" s="49">
        <f>E37*'Molecular Weights'!$B$26/F79</f>
        <v>0</v>
      </c>
      <c r="G37" s="113">
        <v>0</v>
      </c>
      <c r="H37" s="49">
        <f>G37*'Molecular Weights'!$B$26/H79</f>
        <v>0</v>
      </c>
      <c r="I37" s="113">
        <v>0</v>
      </c>
      <c r="J37" s="221">
        <f>I37*'Molecular Weights'!$B$26/J79</f>
        <v>0</v>
      </c>
      <c r="K37" s="114">
        <v>3.9999999999999998E-6</v>
      </c>
      <c r="L37" s="49">
        <f>K37*'Molecular Weights'!$B$26/L79</f>
        <v>2.0144231995793421E-5</v>
      </c>
      <c r="M37" s="118">
        <v>0</v>
      </c>
      <c r="N37" s="49">
        <f>M37*'Molecular Weights'!$B$26/N79</f>
        <v>0</v>
      </c>
      <c r="O37" s="216">
        <v>0</v>
      </c>
      <c r="P37" s="49">
        <f>O37*'Molecular Weights'!$B$26/P79</f>
        <v>0</v>
      </c>
      <c r="Q37" s="113">
        <v>0</v>
      </c>
      <c r="R37" s="49">
        <f>Q37*'Molecular Weights'!$B$26/R79</f>
        <v>0</v>
      </c>
      <c r="S37" s="113">
        <v>0</v>
      </c>
      <c r="T37" s="49">
        <f>S37*'Molecular Weights'!$B$26/T79</f>
        <v>0</v>
      </c>
      <c r="U37" s="113">
        <v>0</v>
      </c>
      <c r="V37" s="49">
        <f>U37*'Molecular Weights'!$B$26/V79</f>
        <v>0</v>
      </c>
      <c r="W37" s="113">
        <v>0</v>
      </c>
      <c r="X37" s="49">
        <f>W37*'Molecular Weights'!$B$26/X79</f>
        <v>0</v>
      </c>
      <c r="Y37" s="113">
        <v>0</v>
      </c>
      <c r="Z37" s="49">
        <f>Y37*'Molecular Weights'!$B$26/Z79</f>
        <v>0</v>
      </c>
      <c r="AA37" s="104">
        <f>AA$81*'Molecular Weights'!$E26</f>
        <v>0</v>
      </c>
      <c r="AB37" s="221">
        <f>AA37*'Molecular Weights'!$B$26/AB79</f>
        <v>0</v>
      </c>
      <c r="AC37" s="104">
        <f>AC$81*'Molecular Weights'!$E26</f>
        <v>0</v>
      </c>
      <c r="AD37" s="49">
        <f>AC37*'Molecular Weights'!$B$26/AD79</f>
        <v>0</v>
      </c>
      <c r="AE37" s="104">
        <f>AE$81*'Molecular Weights'!$E26</f>
        <v>0</v>
      </c>
      <c r="AF37" s="49">
        <f>AE37*'Molecular Weights'!$B$26/AF79</f>
        <v>0</v>
      </c>
      <c r="AG37" s="104">
        <f>AG$81*'Molecular Weights'!$E26</f>
        <v>0</v>
      </c>
      <c r="AH37" s="49">
        <f>AG37*'Molecular Weights'!$B$26/AH79</f>
        <v>0</v>
      </c>
      <c r="AI37" s="104">
        <f>AI$81*'Molecular Weights'!$E26</f>
        <v>0</v>
      </c>
      <c r="AJ37" s="49">
        <f>AI37*'Molecular Weights'!$B$26/AJ79</f>
        <v>0</v>
      </c>
      <c r="AK37" s="104">
        <f>AK$81*'Molecular Weights'!$E26</f>
        <v>0</v>
      </c>
      <c r="AL37" s="49">
        <f>AK37*'Molecular Weights'!$B$26/AL79</f>
        <v>0</v>
      </c>
      <c r="AM37" s="24">
        <f t="shared" si="0"/>
        <v>2.1052631578947366E-7</v>
      </c>
      <c r="AN37" s="24">
        <f>AM37*'Molecular Weights'!$B$26/AN79</f>
        <v>1.0022672749332668E-6</v>
      </c>
      <c r="AO37" s="300">
        <f t="shared" si="1"/>
        <v>1.0105867564342748E-6</v>
      </c>
      <c r="AP37" s="358">
        <f t="shared" si="2"/>
        <v>4.748041015340184E-6</v>
      </c>
    </row>
    <row r="38" spans="1:42" ht="15" thickBot="1" x14ac:dyDescent="0.4">
      <c r="A38" s="17">
        <v>136</v>
      </c>
      <c r="B38" s="299" t="s">
        <v>325</v>
      </c>
      <c r="C38" s="308">
        <v>0</v>
      </c>
      <c r="D38" s="62">
        <f>C38*'Molecular Weights'!$B$27/D79</f>
        <v>0</v>
      </c>
      <c r="E38" s="205">
        <v>0</v>
      </c>
      <c r="F38" s="62">
        <f>E38*'Molecular Weights'!$B$27/F79</f>
        <v>0</v>
      </c>
      <c r="G38" s="205">
        <v>0</v>
      </c>
      <c r="H38" s="62">
        <f>G38*'Molecular Weights'!$B$27/H79</f>
        <v>0</v>
      </c>
      <c r="I38" s="205">
        <v>0</v>
      </c>
      <c r="J38" s="64">
        <f>I38*'Molecular Weights'!$B$27/J79</f>
        <v>0</v>
      </c>
      <c r="K38" s="114">
        <v>1.9999999999999999E-6</v>
      </c>
      <c r="L38" s="62">
        <f>K38*'Molecular Weights'!$B$27/L79</f>
        <v>1.0072115997896711E-5</v>
      </c>
      <c r="M38" s="207">
        <v>0</v>
      </c>
      <c r="N38" s="62">
        <f>M38*'Molecular Weights'!$B$27/N79</f>
        <v>0</v>
      </c>
      <c r="O38" s="206">
        <v>0</v>
      </c>
      <c r="P38" s="62">
        <f>O38*'Molecular Weights'!$B$27/P79</f>
        <v>0</v>
      </c>
      <c r="Q38" s="205">
        <v>0</v>
      </c>
      <c r="R38" s="62">
        <f>Q38*'Molecular Weights'!$B$27/R79</f>
        <v>0</v>
      </c>
      <c r="S38" s="205">
        <v>0</v>
      </c>
      <c r="T38" s="62">
        <f>S38*'Molecular Weights'!$B$27/T79</f>
        <v>0</v>
      </c>
      <c r="U38" s="205">
        <v>0</v>
      </c>
      <c r="V38" s="62">
        <f>U38*'Molecular Weights'!$B$27/V79</f>
        <v>0</v>
      </c>
      <c r="W38" s="205">
        <v>0</v>
      </c>
      <c r="X38" s="62">
        <f>W38*'Molecular Weights'!$B$27/X79</f>
        <v>0</v>
      </c>
      <c r="Y38" s="205">
        <v>0</v>
      </c>
      <c r="Z38" s="62">
        <f>Y38*'Molecular Weights'!$B$27/Z79</f>
        <v>0</v>
      </c>
      <c r="AA38" s="326">
        <f>AA$81*'Molecular Weights'!$E27</f>
        <v>0</v>
      </c>
      <c r="AB38" s="64">
        <f>AA38*'Molecular Weights'!$B$27/AB79</f>
        <v>0</v>
      </c>
      <c r="AC38" s="326">
        <f>AC$81*'Molecular Weights'!$E27</f>
        <v>0</v>
      </c>
      <c r="AD38" s="62">
        <f>AC38*'Molecular Weights'!$B$27/AD79</f>
        <v>0</v>
      </c>
      <c r="AE38" s="326">
        <f>AE$81*'Molecular Weights'!$E27</f>
        <v>0</v>
      </c>
      <c r="AF38" s="62">
        <f>AE38*'Molecular Weights'!$B$27/AF79</f>
        <v>0</v>
      </c>
      <c r="AG38" s="326">
        <f>AG$81*'Molecular Weights'!$E27</f>
        <v>0</v>
      </c>
      <c r="AH38" s="62">
        <f>AG38*'Molecular Weights'!$B$27/AH79</f>
        <v>0</v>
      </c>
      <c r="AI38" s="326">
        <f>AI$81*'Molecular Weights'!$E27</f>
        <v>0</v>
      </c>
      <c r="AJ38" s="62">
        <f>AI38*'Molecular Weights'!$B$27/AJ79</f>
        <v>0</v>
      </c>
      <c r="AK38" s="326">
        <f>AK$81*'Molecular Weights'!$E27</f>
        <v>0</v>
      </c>
      <c r="AL38" s="62">
        <f>AK38*'Molecular Weights'!$B$27/AL79</f>
        <v>0</v>
      </c>
      <c r="AM38" s="24">
        <f t="shared" si="0"/>
        <v>1.0526315789473683E-7</v>
      </c>
      <c r="AN38" s="24">
        <f>AM38*'Molecular Weights'!$B$27/AN79</f>
        <v>5.0113363746663341E-7</v>
      </c>
      <c r="AO38" s="300">
        <f t="shared" si="1"/>
        <v>5.0529337821713739E-7</v>
      </c>
      <c r="AP38" s="358">
        <f t="shared" si="2"/>
        <v>2.374020507670092E-6</v>
      </c>
    </row>
    <row r="39" spans="1:42" ht="15" thickBot="1" x14ac:dyDescent="0.4">
      <c r="A39" s="354">
        <v>2126</v>
      </c>
      <c r="B39" s="293" t="s">
        <v>199</v>
      </c>
      <c r="C39" s="112">
        <v>0</v>
      </c>
      <c r="D39" s="103">
        <f>C39*'Molecular Weights'!$B$28/D79</f>
        <v>0</v>
      </c>
      <c r="E39" s="325">
        <v>0</v>
      </c>
      <c r="F39" s="310">
        <f>E39*'Molecular Weights'!$B$28/F79</f>
        <v>0</v>
      </c>
      <c r="G39" s="325">
        <v>0</v>
      </c>
      <c r="H39" s="310">
        <f>G39*'Molecular Weights'!$B$28/H79</f>
        <v>0</v>
      </c>
      <c r="I39" s="212">
        <v>1.1540000000000001E-3</v>
      </c>
      <c r="J39" s="199">
        <f>I39*'Molecular Weights'!$B$28/J79</f>
        <v>5.8729906272259672E-3</v>
      </c>
      <c r="K39" s="212">
        <v>0</v>
      </c>
      <c r="L39" s="103">
        <f>K39*'Molecular Weights'!$B$28/L79</f>
        <v>0</v>
      </c>
      <c r="M39" s="212">
        <v>0</v>
      </c>
      <c r="N39" s="103">
        <f>M39*'Molecular Weights'!$B$28/N79</f>
        <v>0</v>
      </c>
      <c r="O39" s="233">
        <v>1.08E-4</v>
      </c>
      <c r="P39" s="103">
        <f>O39*'Molecular Weights'!$B$28/P79</f>
        <v>5.6413154402634995E-4</v>
      </c>
      <c r="Q39" s="230">
        <v>2.2100000000000001E-4</v>
      </c>
      <c r="R39" s="103">
        <f>Q39*'Molecular Weights'!$B$28/R79</f>
        <v>1.0870717802416378E-3</v>
      </c>
      <c r="S39" s="230">
        <v>1.4100000000000001E-4</v>
      </c>
      <c r="T39" s="103">
        <f>S39*'Molecular Weights'!$B$28/T79</f>
        <v>7.1610781138082939E-4</v>
      </c>
      <c r="U39" s="230">
        <v>2.0699999999999999E-4</v>
      </c>
      <c r="V39" s="103">
        <f>U39*'Molecular Weights'!$B$28/V79</f>
        <v>1.0180695514705365E-3</v>
      </c>
      <c r="W39" s="230">
        <v>4.84E-4</v>
      </c>
      <c r="X39" s="103">
        <f>W39*'Molecular Weights'!$B$28/X79</f>
        <v>2.3373849447305907E-3</v>
      </c>
      <c r="Y39" s="230">
        <v>1.8200000000000001E-4</v>
      </c>
      <c r="Z39" s="103">
        <f>Y39*'Molecular Weights'!$B$28/Z79</f>
        <v>9.3489516524866158E-4</v>
      </c>
      <c r="AA39" s="324">
        <f>AA$81*'Molecular Weights'!$AI28</f>
        <v>8.5128585847802835E-5</v>
      </c>
      <c r="AB39" s="199">
        <f>AA39*'Molecular Weights'!$B$28/AB79</f>
        <v>4.6312946860323619E-4</v>
      </c>
      <c r="AC39" s="324">
        <f>AC$81*'Molecular Weights'!$AI28</f>
        <v>1.766076516597005E-4</v>
      </c>
      <c r="AD39" s="103">
        <f>AC39*'Molecular Weights'!$B$28/AD79</f>
        <v>9.1825953039953825E-4</v>
      </c>
      <c r="AE39" s="324">
        <f>AE$81*'Molecular Weights'!$AI28</f>
        <v>9.9919577156580656E-5</v>
      </c>
      <c r="AF39" s="103">
        <f>AE39*'Molecular Weights'!$B$28/AF79</f>
        <v>5.393799005892954E-4</v>
      </c>
      <c r="AG39" s="324">
        <f>AG$81*'Molecular Weights'!$E28</f>
        <v>1.7611001964636541E-5</v>
      </c>
      <c r="AH39" s="103">
        <f>AG39*'Molecular Weights'!$B$28/AH79</f>
        <v>1.0023255766358467E-4</v>
      </c>
      <c r="AI39" s="324">
        <f>AI$81*'Molecular Weights'!$E28</f>
        <v>3.6664833005893907E-4</v>
      </c>
      <c r="AJ39" s="103">
        <f>AI39*'Molecular Weights'!$B$28/AJ79</f>
        <v>1.6986967639747474E-3</v>
      </c>
      <c r="AK39" s="324">
        <f>AK$81*'Molecular Weights'!$E28</f>
        <v>3.7541846758349707E-4</v>
      </c>
      <c r="AL39" s="103">
        <f>AK39*'Molecular Weights'!$B$28/AL79</f>
        <v>1.5310038403799893E-3</v>
      </c>
      <c r="AM39" s="24">
        <f t="shared" si="0"/>
        <v>1.904386112774293E-4</v>
      </c>
      <c r="AN39" s="24">
        <f>AM39*'Molecular Weights'!$B$28/AN79</f>
        <v>1.0542052858678937E-3</v>
      </c>
      <c r="AO39" s="300">
        <f t="shared" si="1"/>
        <v>1.0629558872228334E-3</v>
      </c>
      <c r="AP39" s="358">
        <f t="shared" si="2"/>
        <v>1.3911803919771249E-3</v>
      </c>
    </row>
    <row r="40" spans="1:42" x14ac:dyDescent="0.35">
      <c r="A40" s="17">
        <v>717</v>
      </c>
      <c r="B40" s="228" t="s">
        <v>153</v>
      </c>
      <c r="C40" s="113">
        <v>0</v>
      </c>
      <c r="D40" s="49">
        <f>C40*'Molecular Weights'!$B$29/D79</f>
        <v>0</v>
      </c>
      <c r="E40" s="116">
        <v>0</v>
      </c>
      <c r="F40" s="314">
        <f>E40*'Molecular Weights'!$B$29/F79</f>
        <v>0</v>
      </c>
      <c r="G40" s="116">
        <v>0</v>
      </c>
      <c r="H40" s="314">
        <f>G40*'Molecular Weights'!$B$29/H79</f>
        <v>0</v>
      </c>
      <c r="I40" s="222">
        <v>7.6000000000000004E-5</v>
      </c>
      <c r="J40" s="221">
        <f>I40*'Molecular Weights'!$B$29/J79</f>
        <v>3.5565729568415885E-4</v>
      </c>
      <c r="K40" s="114">
        <v>0</v>
      </c>
      <c r="L40" s="49">
        <f>K40*'Molecular Weights'!$B$29/L79</f>
        <v>0</v>
      </c>
      <c r="M40" s="114">
        <v>3.9999999999999998E-6</v>
      </c>
      <c r="N40" s="49">
        <f>M40*'Molecular Weights'!$B$29/N79</f>
        <v>2.1848838259435293E-5</v>
      </c>
      <c r="O40" s="227">
        <v>4.5000000000000003E-5</v>
      </c>
      <c r="P40" s="49">
        <f>O40*'Molecular Weights'!$B$29/P79</f>
        <v>2.1613931634269559E-4</v>
      </c>
      <c r="Q40" s="222">
        <v>9.2E-5</v>
      </c>
      <c r="R40" s="49">
        <f>Q40*'Molecular Weights'!$B$29/R79</f>
        <v>4.1611982408609825E-4</v>
      </c>
      <c r="S40" s="222">
        <v>5.8E-5</v>
      </c>
      <c r="T40" s="49">
        <f>S40*'Molecular Weights'!$B$29/T79</f>
        <v>2.7086439607237873E-4</v>
      </c>
      <c r="U40" s="222">
        <v>8.6000000000000003E-5</v>
      </c>
      <c r="V40" s="49">
        <f>U40*'Molecular Weights'!$B$29/V79</f>
        <v>3.88928873040735E-4</v>
      </c>
      <c r="W40" s="222">
        <v>2.0100000000000001E-4</v>
      </c>
      <c r="X40" s="49">
        <f>W40*'Molecular Weights'!$B$29/X79</f>
        <v>8.9257674753239781E-4</v>
      </c>
      <c r="Y40" s="222">
        <v>7.6000000000000004E-5</v>
      </c>
      <c r="Z40" s="49">
        <f>Y40*'Molecular Weights'!$B$29/Z79</f>
        <v>3.5897958310051567E-4</v>
      </c>
      <c r="AA40" s="324">
        <f>AA$81*'Molecular Weights'!$AI29</f>
        <v>5.6825695446137762E-5</v>
      </c>
      <c r="AB40" s="221">
        <f>AA40*'Molecular Weights'!$B$29/AB79</f>
        <v>2.8427350672669823E-4</v>
      </c>
      <c r="AC40" s="322">
        <f>AC$81*'Molecular Weights'!$AI29</f>
        <v>1.1789051264888071E-4</v>
      </c>
      <c r="AD40" s="49">
        <f>AC40*'Molecular Weights'!$B$29/AD79</f>
        <v>5.6363689742990346E-4</v>
      </c>
      <c r="AE40" s="322">
        <f>AE$81*'Molecular Weights'!$AI29</f>
        <v>6.6699092955192852E-5</v>
      </c>
      <c r="AF40" s="49">
        <f>AE40*'Molecular Weights'!$B$29/AF79</f>
        <v>3.3107678563588916E-4</v>
      </c>
      <c r="AG40" s="322">
        <f>AG$81*'Molecular Weights'!$E29</f>
        <v>7.3379174852652266E-6</v>
      </c>
      <c r="AH40" s="49">
        <f>AG40*'Molecular Weights'!$B$29/AH79</f>
        <v>3.8402739074053791E-5</v>
      </c>
      <c r="AI40" s="322">
        <f>AI$81*'Molecular Weights'!$E29</f>
        <v>1.5277013752455797E-4</v>
      </c>
      <c r="AJ40" s="49">
        <f>AI40*'Molecular Weights'!$B$29/AJ79</f>
        <v>6.5083252501459458E-4</v>
      </c>
      <c r="AK40" s="322">
        <f>AK$81*'Molecular Weights'!$E29</f>
        <v>1.564243614931238E-4</v>
      </c>
      <c r="AL40" s="49">
        <f>AK40*'Molecular Weights'!$B$29/AL79</f>
        <v>5.8658326569718615E-4</v>
      </c>
      <c r="AM40" s="24">
        <f t="shared" si="0"/>
        <v>6.2944616713324139E-5</v>
      </c>
      <c r="AN40" s="24">
        <f>AM40*'Molecular Weights'!$B$29/AN79</f>
        <v>3.204006641792256E-4</v>
      </c>
      <c r="AO40" s="300">
        <f t="shared" si="1"/>
        <v>3.2306020167507688E-4</v>
      </c>
      <c r="AP40" s="358">
        <f t="shared" si="2"/>
        <v>2.6219627789983441E-4</v>
      </c>
    </row>
    <row r="41" spans="1:42" ht="15" thickBot="1" x14ac:dyDescent="0.4">
      <c r="A41" s="17">
        <v>550</v>
      </c>
      <c r="B41" s="315" t="s">
        <v>149</v>
      </c>
      <c r="C41" s="113">
        <v>0</v>
      </c>
      <c r="D41" s="49">
        <f>C41*'Molecular Weights'!$B$32/D79</f>
        <v>0</v>
      </c>
      <c r="E41" s="116">
        <v>0</v>
      </c>
      <c r="F41" s="314">
        <f>E41*'Molecular Weights'!$B$32/F79</f>
        <v>0</v>
      </c>
      <c r="G41" s="116">
        <v>0</v>
      </c>
      <c r="H41" s="314">
        <f>G41*'Molecular Weights'!$B$32/H79</f>
        <v>0</v>
      </c>
      <c r="I41" s="133">
        <v>1.6000000000000001E-4</v>
      </c>
      <c r="J41" s="221">
        <f>I41*'Molecular Weights'!$B$32/J79</f>
        <v>7.9789764764527941E-4</v>
      </c>
      <c r="K41" s="114">
        <v>0</v>
      </c>
      <c r="L41" s="49">
        <f>K41*'Molecular Weights'!$B$32/L79</f>
        <v>0</v>
      </c>
      <c r="M41" s="114">
        <v>1.9999999999999999E-6</v>
      </c>
      <c r="N41" s="49">
        <f>M41*'Molecular Weights'!$B$32/N79</f>
        <v>1.1641459362289961E-5</v>
      </c>
      <c r="O41" s="216">
        <v>0</v>
      </c>
      <c r="P41" s="49">
        <f>O41*'Molecular Weights'!$B$32/P79</f>
        <v>0</v>
      </c>
      <c r="Q41" s="113">
        <v>0</v>
      </c>
      <c r="R41" s="49">
        <f>Q41*'Molecular Weights'!$B$32/R79</f>
        <v>0</v>
      </c>
      <c r="S41" s="113">
        <v>0</v>
      </c>
      <c r="T41" s="49">
        <f>S41*'Molecular Weights'!$B$32/T79</f>
        <v>0</v>
      </c>
      <c r="U41" s="113">
        <v>0</v>
      </c>
      <c r="V41" s="49">
        <f>U41*'Molecular Weights'!$B$32/V79</f>
        <v>0</v>
      </c>
      <c r="W41" s="113">
        <v>0</v>
      </c>
      <c r="X41" s="49">
        <f>W41*'Molecular Weights'!$B$32/X79</f>
        <v>0</v>
      </c>
      <c r="Y41" s="113">
        <v>0</v>
      </c>
      <c r="Z41" s="49">
        <f>Y41*'Molecular Weights'!$B$32/Z79</f>
        <v>0</v>
      </c>
      <c r="AA41" s="312">
        <f>AA$81*'Molecular Weights'!$AI32</f>
        <v>2.2310046383871893E-5</v>
      </c>
      <c r="AB41" s="221">
        <f>AA41*'Molecular Weights'!$B$32/AB79</f>
        <v>1.1893267117935398E-4</v>
      </c>
      <c r="AC41" s="312">
        <f>AC$81*'Molecular Weights'!$AI32</f>
        <v>4.6284392734057182E-5</v>
      </c>
      <c r="AD41" s="49">
        <f>AC41*'Molecular Weights'!$B$32/AD79</f>
        <v>2.3581107700982335E-4</v>
      </c>
      <c r="AE41" s="312">
        <f>AE$81*'Molecular Weights'!$AI32</f>
        <v>2.6186390609209409E-5</v>
      </c>
      <c r="AF41" s="49">
        <f>AE41*'Molecular Weights'!$B$32/AF79</f>
        <v>1.3851395064755991E-4</v>
      </c>
      <c r="AG41" s="312">
        <f>AG$81*'Molecular Weights'!$E32</f>
        <v>0</v>
      </c>
      <c r="AH41" s="49">
        <f>AG41*'Molecular Weights'!$B$32/AH79</f>
        <v>0</v>
      </c>
      <c r="AI41" s="312">
        <f>AI$81*'Molecular Weights'!$E32</f>
        <v>0</v>
      </c>
      <c r="AJ41" s="49">
        <f>AI41*'Molecular Weights'!$B$32/AJ79</f>
        <v>0</v>
      </c>
      <c r="AK41" s="312">
        <f>AK$81*'Molecular Weights'!$E32</f>
        <v>0</v>
      </c>
      <c r="AL41" s="49">
        <f>AK41*'Molecular Weights'!$B$32/AL79</f>
        <v>0</v>
      </c>
      <c r="AM41" s="24">
        <f t="shared" si="0"/>
        <v>1.3514780511954657E-5</v>
      </c>
      <c r="AN41" s="24">
        <f>AM41*'Molecular Weights'!$B$32/AN79</f>
        <v>7.3308255299428865E-5</v>
      </c>
      <c r="AO41" s="300">
        <f t="shared" si="1"/>
        <v>7.3916762320547929E-5</v>
      </c>
      <c r="AP41" s="358">
        <f t="shared" si="2"/>
        <v>1.9272364121512324E-4</v>
      </c>
    </row>
    <row r="42" spans="1:42" x14ac:dyDescent="0.35">
      <c r="A42" s="17">
        <v>2130</v>
      </c>
      <c r="B42" s="293" t="s">
        <v>200</v>
      </c>
      <c r="C42" s="112">
        <v>0</v>
      </c>
      <c r="D42" s="199">
        <f>C42*'Molecular Weights'!$B$38/D79</f>
        <v>0</v>
      </c>
      <c r="E42" s="112">
        <v>0</v>
      </c>
      <c r="F42" s="310">
        <f>E42*'Molecular Weights'!$B$38/F79</f>
        <v>0</v>
      </c>
      <c r="G42" s="112">
        <v>0</v>
      </c>
      <c r="H42" s="310">
        <f>G42*'Molecular Weights'!$B$38/H79</f>
        <v>0</v>
      </c>
      <c r="I42" s="196">
        <v>5.4799999999999998E-4</v>
      </c>
      <c r="J42" s="199">
        <f>I42*'Molecular Weights'!$B$38/J79</f>
        <v>3.1793070813907393E-3</v>
      </c>
      <c r="K42" s="212">
        <v>0</v>
      </c>
      <c r="L42" s="199">
        <f>K42*'Molecular Weights'!$B$38/L79</f>
        <v>0</v>
      </c>
      <c r="M42" s="212">
        <v>0</v>
      </c>
      <c r="N42" s="103">
        <f>M42*'Molecular Weights'!$B$38/N79</f>
        <v>0</v>
      </c>
      <c r="O42" s="233">
        <v>7.4999999999999993E-5</v>
      </c>
      <c r="P42" s="199">
        <f>O42*'Molecular Weights'!$B$38/P79</f>
        <v>4.4659752539780059E-4</v>
      </c>
      <c r="Q42" s="230">
        <v>1.55E-4</v>
      </c>
      <c r="R42" s="103">
        <f>Q42*'Molecular Weights'!$B$38/R79</f>
        <v>8.6915266530537306E-4</v>
      </c>
      <c r="S42" s="230">
        <v>9.7999999999999997E-5</v>
      </c>
      <c r="T42" s="103">
        <f>S42*'Molecular Weights'!$B$38/T79</f>
        <v>5.6739276552717995E-4</v>
      </c>
      <c r="U42" s="230">
        <v>1.45E-4</v>
      </c>
      <c r="V42" s="103">
        <f>U42*'Molecular Weights'!$B$38/V79</f>
        <v>8.1296813888544423E-4</v>
      </c>
      <c r="W42" s="230">
        <v>3.3799999999999998E-4</v>
      </c>
      <c r="X42" s="103">
        <f>W42*'Molecular Weights'!$B$38/X79</f>
        <v>1.86080130079775E-3</v>
      </c>
      <c r="Y42" s="230">
        <v>1.27E-4</v>
      </c>
      <c r="Z42" s="103">
        <f>Y42*'Molecular Weights'!$B$38/Z79</f>
        <v>7.4369295388583372E-4</v>
      </c>
      <c r="AA42" s="323">
        <f>AA$81*'Molecular Weights'!$AI38</f>
        <v>5.1166724216169162E-5</v>
      </c>
      <c r="AB42" s="199">
        <f>AA42*'Molecular Weights'!$B$38/AB79</f>
        <v>3.1733138723439138E-4</v>
      </c>
      <c r="AC42" s="323">
        <f>AC$81*'Molecular Weights'!$AI38</f>
        <v>1.0615041841635851E-4</v>
      </c>
      <c r="AD42" s="103">
        <f>AC42*'Molecular Weights'!$B$38/AD79</f>
        <v>6.2918166598576527E-4</v>
      </c>
      <c r="AE42" s="323">
        <f>AE$81*'Molecular Weights'!$AI38</f>
        <v>6.0056882153633869E-5</v>
      </c>
      <c r="AF42" s="103">
        <f>AE42*'Molecular Weights'!$B$38/AF79</f>
        <v>3.6957737242797692E-4</v>
      </c>
      <c r="AG42" s="323">
        <f>AG$81*'Molecular Weights'!$E38</f>
        <v>1.2229862475442042E-5</v>
      </c>
      <c r="AH42" s="103">
        <f>AG42*'Molecular Weights'!$B$38/AH79</f>
        <v>7.9349599735834659E-5</v>
      </c>
      <c r="AI42" s="323">
        <f>AI$81*'Molecular Weights'!$E38</f>
        <v>2.5461689587426327E-4</v>
      </c>
      <c r="AJ42" s="103">
        <f>AI42*'Molecular Weights'!$B$38/AJ79</f>
        <v>1.3447816900608184E-3</v>
      </c>
      <c r="AK42" s="323">
        <f>AK$81*'Molecular Weights'!$E38</f>
        <v>2.6070726915520626E-4</v>
      </c>
      <c r="AL42" s="103">
        <f>AK42*'Molecular Weights'!$B$38/AL79</f>
        <v>1.2120267581709548E-3</v>
      </c>
      <c r="AM42" s="24">
        <f t="shared" si="0"/>
        <v>1.1741726591005647E-4</v>
      </c>
      <c r="AN42" s="24">
        <f>AM42*'Molecular Weights'!$B$38/AN79</f>
        <v>7.4096990145887333E-4</v>
      </c>
      <c r="AO42" s="300">
        <f t="shared" si="1"/>
        <v>7.4712044188073956E-4</v>
      </c>
      <c r="AP42" s="358">
        <f t="shared" si="2"/>
        <v>8.185960226892938E-4</v>
      </c>
    </row>
    <row r="43" spans="1:42" x14ac:dyDescent="0.35">
      <c r="A43" s="17">
        <v>449</v>
      </c>
      <c r="B43" s="228" t="s">
        <v>154</v>
      </c>
      <c r="C43" s="113">
        <v>0</v>
      </c>
      <c r="D43" s="221">
        <f>C43*'Molecular Weights'!$B$39/D79</f>
        <v>0</v>
      </c>
      <c r="E43" s="113">
        <v>0</v>
      </c>
      <c r="F43" s="314">
        <f>E43*'Molecular Weights'!$B$39/F79</f>
        <v>0</v>
      </c>
      <c r="G43" s="113">
        <v>0</v>
      </c>
      <c r="H43" s="314">
        <f>G43*'Molecular Weights'!$B$39/H79</f>
        <v>0</v>
      </c>
      <c r="I43" s="222">
        <v>1.0000000000000001E-5</v>
      </c>
      <c r="J43" s="221">
        <f>I43*'Molecular Weights'!$B$39/J79</f>
        <v>5.392109872971089E-5</v>
      </c>
      <c r="K43" s="114">
        <v>0</v>
      </c>
      <c r="L43" s="221">
        <f>K43*'Molecular Weights'!$B$39/L79</f>
        <v>0</v>
      </c>
      <c r="M43" s="114">
        <v>0</v>
      </c>
      <c r="N43" s="49">
        <f>M43*'Molecular Weights'!$B$39/N79</f>
        <v>0</v>
      </c>
      <c r="O43" s="227">
        <v>1.9999999999999999E-6</v>
      </c>
      <c r="P43" s="221">
        <f>O43*'Molecular Weights'!$B$39/P79</f>
        <v>1.1068578736462077E-5</v>
      </c>
      <c r="Q43" s="222">
        <v>5.0000000000000004E-6</v>
      </c>
      <c r="R43" s="49">
        <f>Q43*'Molecular Weights'!$B$39/R79</f>
        <v>2.6058006414189594E-5</v>
      </c>
      <c r="S43" s="222">
        <v>3.0000000000000001E-6</v>
      </c>
      <c r="T43" s="49">
        <f>S43*'Molecular Weights'!$B$39/T79</f>
        <v>1.6143057262344366E-5</v>
      </c>
      <c r="U43" s="222">
        <v>3.9999999999999998E-6</v>
      </c>
      <c r="V43" s="49">
        <f>U43*'Molecular Weights'!$B$39/V79</f>
        <v>2.0843580730439038E-5</v>
      </c>
      <c r="W43" s="222">
        <v>1.0000000000000001E-5</v>
      </c>
      <c r="X43" s="49">
        <f>W43*'Molecular Weights'!$B$39/X79</f>
        <v>5.1167018912364391E-5</v>
      </c>
      <c r="Y43" s="222">
        <v>3.9999999999999998E-6</v>
      </c>
      <c r="Z43" s="49">
        <f>Y43*'Molecular Weights'!$B$39/Z79</f>
        <v>2.1769915901855079E-5</v>
      </c>
      <c r="AA43" s="322">
        <f>AA$81*'Molecular Weights'!$AI39</f>
        <v>1.3207479818485921E-6</v>
      </c>
      <c r="AB43" s="221">
        <f>AA43*'Molecular Weights'!$B$39/AB79</f>
        <v>7.6129361372922049E-6</v>
      </c>
      <c r="AC43" s="322">
        <f>AC$81*'Molecular Weights'!$AI39</f>
        <v>2.7400220171117628E-6</v>
      </c>
      <c r="AD43" s="49">
        <f>AC43*'Molecular Weights'!$B$39/AD79</f>
        <v>1.5094377784844692E-5</v>
      </c>
      <c r="AE43" s="322">
        <f>AE$81*'Molecular Weights'!$AI39</f>
        <v>1.5502263847382434E-6</v>
      </c>
      <c r="AF43" s="49">
        <f>AE43*'Molecular Weights'!$B$39/AF79</f>
        <v>8.8663430321320537E-6</v>
      </c>
      <c r="AG43" s="322">
        <f>AG$81*'Molecular Weights'!$E39</f>
        <v>3.2612966601178782E-7</v>
      </c>
      <c r="AH43" s="49">
        <f>AG43*'Molecular Weights'!$B$39/AH79</f>
        <v>1.9666192543286358E-6</v>
      </c>
      <c r="AI43" s="322">
        <f>AI$81*'Molecular Weights'!$E39</f>
        <v>6.7897838899803543E-6</v>
      </c>
      <c r="AJ43" s="49">
        <f>AI43*'Molecular Weights'!$B$39/AJ79</f>
        <v>3.3329387587923296E-5</v>
      </c>
      <c r="AK43" s="322">
        <f>AK$81*'Molecular Weights'!$E39</f>
        <v>6.9521938441388349E-6</v>
      </c>
      <c r="AL43" s="49">
        <f>AK43*'Molecular Weights'!$B$39/AL79</f>
        <v>3.0039157945545052E-5</v>
      </c>
      <c r="AM43" s="24">
        <f t="shared" si="0"/>
        <v>3.0357423044120834E-6</v>
      </c>
      <c r="AN43" s="24">
        <f>AM43*'Molecular Weights'!$B$39/AN79</f>
        <v>1.780493204762742E-5</v>
      </c>
      <c r="AO43" s="300">
        <f t="shared" si="1"/>
        <v>1.795272476370388E-5</v>
      </c>
      <c r="AP43" s="358">
        <f t="shared" si="2"/>
        <v>1.7060367516105845E-5</v>
      </c>
    </row>
    <row r="44" spans="1:42" x14ac:dyDescent="0.35">
      <c r="A44" s="17">
        <v>522</v>
      </c>
      <c r="B44" s="228" t="s">
        <v>319</v>
      </c>
      <c r="C44" s="113">
        <v>0</v>
      </c>
      <c r="D44" s="221">
        <f>C44*'Molecular Weights'!$B$40/D79</f>
        <v>0</v>
      </c>
      <c r="E44" s="113">
        <v>0</v>
      </c>
      <c r="F44" s="314">
        <f>E44*'Molecular Weights'!$B$40/F79</f>
        <v>0</v>
      </c>
      <c r="G44" s="113">
        <v>0</v>
      </c>
      <c r="H44" s="314">
        <f>G44*'Molecular Weights'!$B$40/H79</f>
        <v>0</v>
      </c>
      <c r="I44" s="320">
        <v>1.7161016949152544E-6</v>
      </c>
      <c r="J44" s="119">
        <f>I44*'Molecular Weights'!$B$40/J79</f>
        <v>9.2534088921749638E-6</v>
      </c>
      <c r="K44" s="114">
        <v>0</v>
      </c>
      <c r="L44" s="221">
        <f>K44*'Molecular Weights'!$B$40/L79</f>
        <v>0</v>
      </c>
      <c r="M44" s="114">
        <v>0</v>
      </c>
      <c r="N44" s="49">
        <f>M44*'Molecular Weights'!$B$40/N79</f>
        <v>0</v>
      </c>
      <c r="O44" s="320">
        <v>7.3333333333333331E-6</v>
      </c>
      <c r="P44" s="49">
        <f>O44*'Molecular Weights'!$B$40/P79</f>
        <v>4.0584788700360958E-5</v>
      </c>
      <c r="Q44" s="320">
        <v>1.5333333333333331E-5</v>
      </c>
      <c r="R44" s="49">
        <f>Q44*'Molecular Weights'!$B$40/R79</f>
        <v>7.9911219670181406E-5</v>
      </c>
      <c r="S44" s="320">
        <v>9.9999999999999991E-6</v>
      </c>
      <c r="T44" s="49">
        <f>S44*'Molecular Weights'!$B$40/T79</f>
        <v>5.3810190874481221E-5</v>
      </c>
      <c r="U44" s="320">
        <v>1.4666666666666666E-5</v>
      </c>
      <c r="V44" s="49">
        <f>U44*'Molecular Weights'!$B$40/V79</f>
        <v>7.6426462678276473E-5</v>
      </c>
      <c r="W44" s="320">
        <v>3.4E-5</v>
      </c>
      <c r="X44" s="49">
        <f>W44*'Molecular Weights'!$B$40/X79</f>
        <v>1.7396786430203892E-4</v>
      </c>
      <c r="Y44" s="320">
        <v>1.2666666666666667E-5</v>
      </c>
      <c r="Z44" s="49">
        <f>Y44*'Molecular Weights'!$B$40/Z79</f>
        <v>6.8938067022541091E-5</v>
      </c>
      <c r="AA44" s="321">
        <f>AA$81*'Molecular Weights'!$AI40</f>
        <v>3.4167891112619662E-6</v>
      </c>
      <c r="AB44" s="221">
        <f>AA44*'Molecular Weights'!$B$40/AB79</f>
        <v>1.9694746958632627E-5</v>
      </c>
      <c r="AC44" s="321">
        <f>AC$81*'Molecular Weights'!$AI40</f>
        <v>7.0884661732224173E-6</v>
      </c>
      <c r="AD44" s="49">
        <f>AC44*'Molecular Weights'!$B$40/AD79</f>
        <v>3.9049316270274067E-5</v>
      </c>
      <c r="AE44" s="321">
        <f>AE$81*'Molecular Weights'!$AI40</f>
        <v>4.0104521863065378E-6</v>
      </c>
      <c r="AF44" s="49">
        <f>AE44*'Molecular Weights'!$B$40/AF79</f>
        <v>2.2937323959791672E-5</v>
      </c>
      <c r="AG44" s="321">
        <f>AG$81*'Molecular Weights'!$E40</f>
        <v>0</v>
      </c>
      <c r="AH44" s="49">
        <f>AG44*'Molecular Weights'!$B$40/AH79</f>
        <v>0</v>
      </c>
      <c r="AI44" s="321">
        <f>AI$81*'Molecular Weights'!$E40</f>
        <v>0</v>
      </c>
      <c r="AJ44" s="49">
        <f>AI44*'Molecular Weights'!$B$40/AJ79</f>
        <v>0</v>
      </c>
      <c r="AK44" s="321">
        <f>AK$81*'Molecular Weights'!$E40</f>
        <v>0</v>
      </c>
      <c r="AL44" s="49">
        <f>AK44*'Molecular Weights'!$B$40/AL79</f>
        <v>0</v>
      </c>
      <c r="AM44" s="24">
        <f t="shared" si="0"/>
        <v>5.8016741666161152E-6</v>
      </c>
      <c r="AN44" s="24">
        <f>AM44*'Molecular Weights'!$B$40/AN79</f>
        <v>3.4027398883279269E-5</v>
      </c>
      <c r="AO44" s="300">
        <f t="shared" si="1"/>
        <v>3.4309848807183753E-5</v>
      </c>
      <c r="AP44" s="358">
        <f t="shared" si="2"/>
        <v>4.5585370450795173E-5</v>
      </c>
    </row>
    <row r="45" spans="1:42" x14ac:dyDescent="0.35">
      <c r="A45" s="17">
        <v>620</v>
      </c>
      <c r="B45" s="228" t="s">
        <v>318</v>
      </c>
      <c r="C45" s="113">
        <v>0</v>
      </c>
      <c r="D45" s="221">
        <f>C45*'Molecular Weights'!$B$41/D79</f>
        <v>0</v>
      </c>
      <c r="E45" s="113">
        <v>0</v>
      </c>
      <c r="F45" s="314">
        <f>E45*'Molecular Weights'!$B$41/F79</f>
        <v>0</v>
      </c>
      <c r="G45" s="113">
        <v>0</v>
      </c>
      <c r="H45" s="314">
        <f>G45*'Molecular Weights'!$B$41/H79</f>
        <v>0</v>
      </c>
      <c r="I45" s="320">
        <v>3.2838983050847462E-6</v>
      </c>
      <c r="J45" s="221">
        <f>I45*'Molecular Weights'!$B$41/J79</f>
        <v>1.7707140472680486E-5</v>
      </c>
      <c r="K45" s="114">
        <v>0</v>
      </c>
      <c r="L45" s="221">
        <f>K45*'Molecular Weights'!$B$41/L79</f>
        <v>0</v>
      </c>
      <c r="M45" s="114">
        <v>1.9999999999999999E-6</v>
      </c>
      <c r="N45" s="49">
        <f>M45*'Molecular Weights'!$B$41/N79</f>
        <v>1.2587484752901926E-5</v>
      </c>
      <c r="O45" s="320">
        <v>3.6666666666666666E-6</v>
      </c>
      <c r="P45" s="49">
        <f>O45*'Molecular Weights'!$B$41/P79</f>
        <v>2.0292394350180479E-5</v>
      </c>
      <c r="Q45" s="320">
        <v>7.6666666666666655E-6</v>
      </c>
      <c r="R45" s="49">
        <f>Q45*'Molecular Weights'!$B$41/R79</f>
        <v>3.9955609835090703E-5</v>
      </c>
      <c r="S45" s="320">
        <v>4.9999999999999996E-6</v>
      </c>
      <c r="T45" s="49">
        <f>S45*'Molecular Weights'!$B$41/T79</f>
        <v>2.690509543724061E-5</v>
      </c>
      <c r="U45" s="320">
        <v>7.3333333333333331E-6</v>
      </c>
      <c r="V45" s="49">
        <f>U45*'Molecular Weights'!$B$41/V79</f>
        <v>3.8213231339138236E-5</v>
      </c>
      <c r="W45" s="320">
        <v>1.7E-5</v>
      </c>
      <c r="X45" s="49">
        <f>W45*'Molecular Weights'!$B$41/X79</f>
        <v>8.6983932151019462E-5</v>
      </c>
      <c r="Y45" s="320">
        <v>6.3333333333333334E-6</v>
      </c>
      <c r="Z45" s="49">
        <f>Y45*'Molecular Weights'!$B$41/Z79</f>
        <v>3.4469033511270546E-5</v>
      </c>
      <c r="AA45" s="319">
        <f>AA$81*'Molecular Weights'!$AI41</f>
        <v>1.8973667145973247E-5</v>
      </c>
      <c r="AB45" s="221">
        <f>AA45*'Molecular Weights'!$B$41/AB79</f>
        <v>1.0936629717227349E-4</v>
      </c>
      <c r="AC45" s="319">
        <f>AC$81*'Molecular Weights'!$AI41</f>
        <v>3.9362744777812299E-5</v>
      </c>
      <c r="AD45" s="49">
        <f>AC45*'Molecular Weights'!$B$41/AD79</f>
        <v>2.1684356425391682E-4</v>
      </c>
      <c r="AE45" s="319">
        <f>AE$81*'Molecular Weights'!$AI41</f>
        <v>2.2270319416850563E-5</v>
      </c>
      <c r="AF45" s="49">
        <f>AE45*'Molecular Weights'!$B$41/AF79</f>
        <v>1.2737255237614135E-4</v>
      </c>
      <c r="AG45" s="319"/>
      <c r="AH45" s="49">
        <f>AG45*'Molecular Weights'!$B$41/AH79</f>
        <v>0</v>
      </c>
      <c r="AI45" s="319"/>
      <c r="AJ45" s="49">
        <f>AI45*'Molecular Weights'!$B$41/AJ79</f>
        <v>0</v>
      </c>
      <c r="AK45" s="319"/>
      <c r="AL45" s="49">
        <f>AK45*'Molecular Weights'!$B$41/AL79</f>
        <v>0</v>
      </c>
      <c r="AM45" s="24">
        <f t="shared" si="0"/>
        <v>8.3056643528575533E-6</v>
      </c>
      <c r="AN45" s="24">
        <f>AM45*'Molecular Weights'!$B$41/AN79</f>
        <v>4.8713551607493771E-5</v>
      </c>
      <c r="AO45" s="300">
        <f t="shared" si="1"/>
        <v>4.9117906315646763E-5</v>
      </c>
      <c r="AP45" s="358">
        <f t="shared" si="2"/>
        <v>5.8892971675835609E-5</v>
      </c>
    </row>
    <row r="46" spans="1:42" ht="15" thickBot="1" x14ac:dyDescent="0.4">
      <c r="A46" s="17">
        <v>118</v>
      </c>
      <c r="B46" s="315" t="s">
        <v>146</v>
      </c>
      <c r="C46" s="113">
        <v>0</v>
      </c>
      <c r="D46" s="221">
        <f>C46*'Molecular Weights'!$B$55/D79</f>
        <v>0</v>
      </c>
      <c r="E46" s="113">
        <v>0</v>
      </c>
      <c r="F46" s="314">
        <f>E46*'Molecular Weights'!$B$55/F79</f>
        <v>0</v>
      </c>
      <c r="G46" s="113">
        <v>0</v>
      </c>
      <c r="H46" s="314">
        <f>G46*'Molecular Weights'!$B$55/H79</f>
        <v>0</v>
      </c>
      <c r="I46" s="222">
        <v>9.0000000000000002E-6</v>
      </c>
      <c r="J46" s="221">
        <f>I46*'Molecular Weights'!$B$55/J79</f>
        <v>5.2214897322110677E-5</v>
      </c>
      <c r="K46" s="114">
        <v>0</v>
      </c>
      <c r="L46" s="221">
        <f>K46*'Molecular Weights'!$B$55/L79</f>
        <v>0</v>
      </c>
      <c r="M46" s="114">
        <v>0</v>
      </c>
      <c r="N46" s="49">
        <f>M46*'Molecular Weights'!$B$55/N79</f>
        <v>0</v>
      </c>
      <c r="O46" s="216">
        <v>0</v>
      </c>
      <c r="P46" s="221">
        <f>O46*'Molecular Weights'!$B$55/P79</f>
        <v>0</v>
      </c>
      <c r="Q46" s="222">
        <v>8.6000000000000003E-5</v>
      </c>
      <c r="R46" s="49">
        <f>Q46*'Molecular Weights'!$B$55/R79</f>
        <v>4.8223954333072311E-4</v>
      </c>
      <c r="S46" s="222">
        <v>5.5000000000000002E-5</v>
      </c>
      <c r="T46" s="49">
        <f>S46*'Molecular Weights'!$B$55/T79</f>
        <v>3.1843471534688674E-4</v>
      </c>
      <c r="U46" s="222">
        <v>8.0000000000000007E-5</v>
      </c>
      <c r="V46" s="49">
        <f>U46*'Molecular Weights'!$B$55/V79</f>
        <v>4.4853414559196925E-4</v>
      </c>
      <c r="W46" s="222">
        <v>1.8799999999999999E-4</v>
      </c>
      <c r="X46" s="49">
        <f>W46*'Molecular Weights'!$B$55/X79</f>
        <v>1.0350019069525946E-3</v>
      </c>
      <c r="Y46" s="222">
        <v>7.1000000000000005E-5</v>
      </c>
      <c r="Z46" s="49">
        <f>Y46*'Molecular Weights'!$B$55/Z79</f>
        <v>4.1576535217239526E-4</v>
      </c>
      <c r="AA46" s="312">
        <f>AA$81*'Molecular Weights'!$AI55</f>
        <v>1.5718899550369409E-5</v>
      </c>
      <c r="AB46" s="221">
        <f>AA46*'Molecular Weights'!$B$55/AB79</f>
        <v>9.7487190679689618E-5</v>
      </c>
      <c r="AC46" s="312">
        <f>AC$81*'Molecular Weights'!$AI55</f>
        <v>3.2610408226781488E-5</v>
      </c>
      <c r="AD46" s="49">
        <f>AC46*'Molecular Weights'!$B$55/AD79</f>
        <v>1.9329053321414264E-4</v>
      </c>
      <c r="AE46" s="312">
        <f>AE$81*'Molecular Weights'!$AI55</f>
        <v>1.8450039793304226E-5</v>
      </c>
      <c r="AF46" s="49">
        <f>AE46*'Molecular Weights'!$B$55/AF79</f>
        <v>1.1353764936644165E-4</v>
      </c>
      <c r="AG46" s="312">
        <f>AG$81*'Molecular Weights'!$E55</f>
        <v>0</v>
      </c>
      <c r="AH46" s="49">
        <f>AG46*'Molecular Weights'!$B$55/AH79</f>
        <v>0</v>
      </c>
      <c r="AI46" s="312">
        <f>AI$81*'Molecular Weights'!$E55</f>
        <v>0</v>
      </c>
      <c r="AJ46" s="49">
        <f>AI46*'Molecular Weights'!$B$55/AJ79</f>
        <v>0</v>
      </c>
      <c r="AK46" s="312">
        <f>AK$81*'Molecular Weights'!$E55</f>
        <v>0</v>
      </c>
      <c r="AL46" s="49">
        <f>AK46*'Molecular Weights'!$B$55/AL79</f>
        <v>0</v>
      </c>
      <c r="AM46" s="24">
        <f t="shared" si="0"/>
        <v>2.9251544608971315E-5</v>
      </c>
      <c r="AN46" s="24">
        <f>AM46*'Molecular Weights'!$B$55/AN79</f>
        <v>1.8459392627173199E-4</v>
      </c>
      <c r="AO46" s="300">
        <f t="shared" si="1"/>
        <v>1.8612617799063436E-4</v>
      </c>
      <c r="AP46" s="358">
        <f t="shared" si="2"/>
        <v>2.7527323835390913E-4</v>
      </c>
    </row>
    <row r="47" spans="1:42" ht="15" hidden="1" thickBot="1" x14ac:dyDescent="0.4">
      <c r="B47" s="291" t="s">
        <v>305</v>
      </c>
      <c r="C47" s="215">
        <v>0</v>
      </c>
      <c r="D47" s="57">
        <f>C47*'Molecular Weights'!$B$56/D79</f>
        <v>0</v>
      </c>
      <c r="E47" s="113">
        <v>0</v>
      </c>
      <c r="F47" s="313">
        <f>E47*'Molecular Weights'!$B$56/F79</f>
        <v>0</v>
      </c>
      <c r="G47" s="113">
        <v>0</v>
      </c>
      <c r="H47" s="313">
        <f>G47*'Molecular Weights'!$B$56/H79</f>
        <v>0</v>
      </c>
      <c r="I47" s="215">
        <v>0</v>
      </c>
      <c r="J47" s="57">
        <f>I47*'Molecular Weights'!$B$56/J79</f>
        <v>0</v>
      </c>
      <c r="K47" s="133">
        <v>0</v>
      </c>
      <c r="L47" s="57">
        <f>K47*'Molecular Weights'!$B$56/L79</f>
        <v>0</v>
      </c>
      <c r="M47" s="133">
        <v>0</v>
      </c>
      <c r="N47" s="119">
        <f>M47*'Molecular Weights'!$B$56/N79</f>
        <v>0</v>
      </c>
      <c r="O47" s="216">
        <v>0</v>
      </c>
      <c r="P47" s="57">
        <f>O47*'Molecular Weights'!$B$56/P79</f>
        <v>0</v>
      </c>
      <c r="Q47" s="215">
        <v>0</v>
      </c>
      <c r="R47" s="49">
        <f>Q47*'Molecular Weights'!$B$56/R79</f>
        <v>0</v>
      </c>
      <c r="S47" s="215">
        <v>0</v>
      </c>
      <c r="T47" s="49">
        <f>S47*'Molecular Weights'!$B$56/T79</f>
        <v>0</v>
      </c>
      <c r="U47" s="215">
        <v>0</v>
      </c>
      <c r="V47" s="49">
        <f>U47*'Molecular Weights'!$B$56/V79</f>
        <v>0</v>
      </c>
      <c r="W47" s="215">
        <v>0</v>
      </c>
      <c r="X47" s="49">
        <f>W47*'Molecular Weights'!$B$56/X79</f>
        <v>0</v>
      </c>
      <c r="Y47" s="215">
        <v>0</v>
      </c>
      <c r="Z47" s="49">
        <f>Y47*'Molecular Weights'!$B$56/Z79</f>
        <v>0</v>
      </c>
      <c r="AA47" s="312">
        <f>AA$81*'Molecular Weights'!$AI56</f>
        <v>0</v>
      </c>
      <c r="AB47" s="57">
        <f>AA47*'Molecular Weights'!$B$56/AB79</f>
        <v>0</v>
      </c>
      <c r="AC47" s="312">
        <f>AC$81*'Molecular Weights'!$AI56</f>
        <v>0</v>
      </c>
      <c r="AD47" s="119">
        <f>AC47*'Molecular Weights'!$B$56/AD79</f>
        <v>0</v>
      </c>
      <c r="AE47" s="312">
        <f>AE$81*'Molecular Weights'!$AI56</f>
        <v>0</v>
      </c>
      <c r="AF47" s="119">
        <f>AE47*'Molecular Weights'!$B$56/AF79</f>
        <v>0</v>
      </c>
      <c r="AG47" s="312">
        <f>AG$81*'Molecular Weights'!$E56</f>
        <v>0</v>
      </c>
      <c r="AH47" s="119">
        <f>AG47*'Molecular Weights'!$B$56/AH79</f>
        <v>0</v>
      </c>
      <c r="AI47" s="312">
        <f>AI$81*'Molecular Weights'!$E56</f>
        <v>0</v>
      </c>
      <c r="AJ47" s="119">
        <f>AI47*'Molecular Weights'!$B$56/AJ79</f>
        <v>0</v>
      </c>
      <c r="AK47" s="312">
        <f>AK$81*'Molecular Weights'!$E56</f>
        <v>0</v>
      </c>
      <c r="AL47" s="119">
        <f>AK47*'Molecular Weights'!$B$56/AL79</f>
        <v>0</v>
      </c>
      <c r="AM47" s="24">
        <f t="shared" si="0"/>
        <v>0</v>
      </c>
      <c r="AN47" s="24">
        <f>AM47*'Molecular Weights'!$B$56/AN79</f>
        <v>0</v>
      </c>
      <c r="AO47" s="300" t="e">
        <f>#REF!*'Molecular Weights'!$B$56/AO79</f>
        <v>#REF!</v>
      </c>
    </row>
    <row r="48" spans="1:42" ht="15" hidden="1" thickBot="1" x14ac:dyDescent="0.4">
      <c r="B48" s="299" t="s">
        <v>304</v>
      </c>
      <c r="C48" s="205">
        <v>0</v>
      </c>
      <c r="D48" s="64">
        <f>C48*'Molecular Weights'!$B$57/D79</f>
        <v>0</v>
      </c>
      <c r="E48" s="205">
        <v>0</v>
      </c>
      <c r="F48" s="307">
        <f>E48*'Molecular Weights'!$B$57/F79</f>
        <v>0</v>
      </c>
      <c r="G48" s="205">
        <v>0</v>
      </c>
      <c r="H48" s="307">
        <f>G48*'Molecular Weights'!$B$57/H79</f>
        <v>0</v>
      </c>
      <c r="I48" s="205">
        <v>0</v>
      </c>
      <c r="J48" s="64">
        <f>I48*'Molecular Weights'!$B$57/J79</f>
        <v>0</v>
      </c>
      <c r="K48" s="208">
        <v>0</v>
      </c>
      <c r="L48" s="64">
        <f>K48*'Molecular Weights'!$B$57/L79</f>
        <v>0</v>
      </c>
      <c r="M48" s="208">
        <v>0</v>
      </c>
      <c r="N48" s="62">
        <f>M48*'Molecular Weights'!$B$57/N79</f>
        <v>0</v>
      </c>
      <c r="O48" s="206">
        <v>0</v>
      </c>
      <c r="P48" s="64">
        <f>O48*'Molecular Weights'!$B$57/P79</f>
        <v>0</v>
      </c>
      <c r="Q48" s="205">
        <v>0</v>
      </c>
      <c r="R48" s="62">
        <f>Q48*'Molecular Weights'!$B$57/R79</f>
        <v>0</v>
      </c>
      <c r="S48" s="205">
        <v>0</v>
      </c>
      <c r="T48" s="62">
        <f>S48*'Molecular Weights'!$B$57/T79</f>
        <v>0</v>
      </c>
      <c r="U48" s="205">
        <v>0</v>
      </c>
      <c r="V48" s="62">
        <f>U48*'Molecular Weights'!$B$57/V79</f>
        <v>0</v>
      </c>
      <c r="W48" s="205">
        <v>0</v>
      </c>
      <c r="X48" s="62">
        <f>W48*'Molecular Weights'!$B$57/X79</f>
        <v>0</v>
      </c>
      <c r="Y48" s="205">
        <v>0</v>
      </c>
      <c r="Z48" s="62">
        <f>Y48*'Molecular Weights'!$B$57/Z79</f>
        <v>0</v>
      </c>
      <c r="AA48" s="311">
        <f>AA$81*'Molecular Weights'!$AI57</f>
        <v>0</v>
      </c>
      <c r="AB48" s="64">
        <f>AA48*'Molecular Weights'!$B$57/AB79</f>
        <v>0</v>
      </c>
      <c r="AC48" s="311">
        <f>AC$81*'Molecular Weights'!$AI57</f>
        <v>0</v>
      </c>
      <c r="AD48" s="62">
        <f>AC48*'Molecular Weights'!$B$57/AD79</f>
        <v>0</v>
      </c>
      <c r="AE48" s="311">
        <f>AE$81*'Molecular Weights'!$AI57</f>
        <v>0</v>
      </c>
      <c r="AF48" s="62">
        <f>AE48*'Molecular Weights'!$B$57/AF79</f>
        <v>0</v>
      </c>
      <c r="AG48" s="311">
        <f>AG$81*'Molecular Weights'!$E57</f>
        <v>0</v>
      </c>
      <c r="AH48" s="62">
        <f>AG48*'Molecular Weights'!$B$57/AH79</f>
        <v>0</v>
      </c>
      <c r="AI48" s="311">
        <f>AI$81*'Molecular Weights'!$E57</f>
        <v>0</v>
      </c>
      <c r="AJ48" s="62">
        <f>AI48*'Molecular Weights'!$B$57/AJ79</f>
        <v>0</v>
      </c>
      <c r="AK48" s="311">
        <f>AK$81*'Molecular Weights'!$E57</f>
        <v>0</v>
      </c>
      <c r="AL48" s="62">
        <f>AK48*'Molecular Weights'!$B$57/AL79</f>
        <v>0</v>
      </c>
      <c r="AM48" s="24">
        <f t="shared" ref="AM48:AM75" si="3">AVERAGE(C48,E48,G48,I48,K48,M48,O48,Q48,S48,U48,W48,Y48,AA48,AC48,AE48,AG48,AI48,AK48,)</f>
        <v>0</v>
      </c>
      <c r="AN48" s="24">
        <f>AM48*'Molecular Weights'!$B$57/AN79</f>
        <v>0</v>
      </c>
      <c r="AO48" s="300" t="e">
        <f>#REF!*'Molecular Weights'!$B$57/AO79</f>
        <v>#REF!</v>
      </c>
    </row>
    <row r="49" spans="2:41" ht="15" hidden="1" thickBot="1" x14ac:dyDescent="0.4">
      <c r="B49" s="293" t="s">
        <v>201</v>
      </c>
      <c r="C49" s="112">
        <v>0</v>
      </c>
      <c r="D49" s="199">
        <f>C49*'Molecular Weights'!$B$58/D79</f>
        <v>0</v>
      </c>
      <c r="E49" s="112">
        <v>0</v>
      </c>
      <c r="F49" s="310">
        <f>E49*'Molecular Weights'!$B$58/F79</f>
        <v>0</v>
      </c>
      <c r="G49" s="112">
        <v>0</v>
      </c>
      <c r="H49" s="310">
        <f>G49*'Molecular Weights'!$B$58/H79</f>
        <v>0</v>
      </c>
      <c r="I49" s="112">
        <v>0</v>
      </c>
      <c r="J49" s="199">
        <f>I49*'Molecular Weights'!$B$58/J79</f>
        <v>0</v>
      </c>
      <c r="K49" s="212">
        <v>0</v>
      </c>
      <c r="L49" s="199">
        <f>K49*'Molecular Weights'!$B$58/L79</f>
        <v>0</v>
      </c>
      <c r="M49" s="212">
        <v>0</v>
      </c>
      <c r="N49" s="103">
        <f>M49*'Molecular Weights'!$B$58/N79</f>
        <v>0</v>
      </c>
      <c r="O49" s="211">
        <v>0</v>
      </c>
      <c r="P49" s="199">
        <f>O49*'Molecular Weights'!$B$58/P79</f>
        <v>0</v>
      </c>
      <c r="Q49" s="112">
        <v>0</v>
      </c>
      <c r="R49" s="103">
        <f>Q49*'Molecular Weights'!$B$58/R79</f>
        <v>0</v>
      </c>
      <c r="S49" s="112">
        <v>0</v>
      </c>
      <c r="T49" s="103">
        <f>S49*'Molecular Weights'!$B$58/T79</f>
        <v>0</v>
      </c>
      <c r="U49" s="112">
        <v>0</v>
      </c>
      <c r="V49" s="103">
        <f>U49*'Molecular Weights'!$B$58/V79</f>
        <v>0</v>
      </c>
      <c r="W49" s="112">
        <v>0</v>
      </c>
      <c r="X49" s="103">
        <f>W49*'Molecular Weights'!$B$58/X79</f>
        <v>0</v>
      </c>
      <c r="Y49" s="112">
        <v>0</v>
      </c>
      <c r="Z49" s="103">
        <f>Y49*'Molecular Weights'!$B$58/Z79</f>
        <v>0</v>
      </c>
      <c r="AA49" s="309">
        <f>AA$81*'Molecular Weights'!$AI58</f>
        <v>0</v>
      </c>
      <c r="AB49" s="199">
        <f>AA49*'Molecular Weights'!$B$58/AB79</f>
        <v>0</v>
      </c>
      <c r="AC49" s="309">
        <f>AC$81*'Molecular Weights'!$AI58</f>
        <v>0</v>
      </c>
      <c r="AD49" s="103">
        <f>AC49*'Molecular Weights'!$B$58/AD79</f>
        <v>0</v>
      </c>
      <c r="AE49" s="309">
        <f>AE$81*'Molecular Weights'!$AI58</f>
        <v>0</v>
      </c>
      <c r="AF49" s="103">
        <f>AE49*'Molecular Weights'!$B$58/AF79</f>
        <v>0</v>
      </c>
      <c r="AG49" s="309">
        <f>AG$81*'Molecular Weights'!$E58</f>
        <v>0</v>
      </c>
      <c r="AH49" s="103">
        <f>AG49*'Molecular Weights'!$B$58/AH79</f>
        <v>0</v>
      </c>
      <c r="AI49" s="309">
        <f>AI$81*'Molecular Weights'!$E58</f>
        <v>0</v>
      </c>
      <c r="AJ49" s="103">
        <f>AI49*'Molecular Weights'!$B$58/AJ79</f>
        <v>0</v>
      </c>
      <c r="AK49" s="309">
        <f>AK$81*'Molecular Weights'!$E58</f>
        <v>0</v>
      </c>
      <c r="AL49" s="103">
        <f>AK49*'Molecular Weights'!$B$58/AL79</f>
        <v>0</v>
      </c>
      <c r="AM49" s="24">
        <f t="shared" si="3"/>
        <v>0</v>
      </c>
      <c r="AN49" s="24">
        <f>AM49*'Molecular Weights'!$B$58/AN79</f>
        <v>0</v>
      </c>
      <c r="AO49" s="300" t="e">
        <f>#REF!*'Molecular Weights'!$B$58/AO79</f>
        <v>#REF!</v>
      </c>
    </row>
    <row r="50" spans="2:41" ht="15" hidden="1" thickBot="1" x14ac:dyDescent="0.4">
      <c r="B50" s="299" t="s">
        <v>303</v>
      </c>
      <c r="C50" s="308">
        <v>0</v>
      </c>
      <c r="D50" s="64">
        <f>C50*'Molecular Weights'!$B$59/D79</f>
        <v>0</v>
      </c>
      <c r="E50" s="205">
        <v>0</v>
      </c>
      <c r="F50" s="307">
        <f>E50*'Molecular Weights'!$B$59/F79</f>
        <v>0</v>
      </c>
      <c r="G50" s="205">
        <v>0</v>
      </c>
      <c r="H50" s="307">
        <f>G50*'Molecular Weights'!$B$59/H79</f>
        <v>0</v>
      </c>
      <c r="I50" s="205">
        <v>0</v>
      </c>
      <c r="J50" s="64">
        <f>I50*'Molecular Weights'!$B$59/J79</f>
        <v>0</v>
      </c>
      <c r="K50" s="208">
        <v>0</v>
      </c>
      <c r="L50" s="64">
        <f>K50*'Molecular Weights'!$B$59/L79</f>
        <v>0</v>
      </c>
      <c r="M50" s="207">
        <v>0</v>
      </c>
      <c r="N50" s="62">
        <f>M50*'Molecular Weights'!$B$59/N79</f>
        <v>0</v>
      </c>
      <c r="O50" s="206">
        <v>0</v>
      </c>
      <c r="P50" s="64">
        <f>O50*'Molecular Weights'!$B$59/P79</f>
        <v>0</v>
      </c>
      <c r="Q50" s="205">
        <v>0</v>
      </c>
      <c r="R50" s="62">
        <f>Q50*'Molecular Weights'!$B$59/R79</f>
        <v>0</v>
      </c>
      <c r="S50" s="205">
        <v>0</v>
      </c>
      <c r="T50" s="62">
        <f>S50*'Molecular Weights'!$B$59/T79</f>
        <v>0</v>
      </c>
      <c r="U50" s="205">
        <v>0</v>
      </c>
      <c r="V50" s="62">
        <f>U50*'Molecular Weights'!$B$59/V79</f>
        <v>0</v>
      </c>
      <c r="W50" s="205">
        <v>0</v>
      </c>
      <c r="X50" s="62">
        <f>W50*'Molecular Weights'!$B$59/X79</f>
        <v>0</v>
      </c>
      <c r="Y50" s="205">
        <v>0</v>
      </c>
      <c r="Z50" s="62">
        <f>Y50*'Molecular Weights'!$B$59/Z79</f>
        <v>0</v>
      </c>
      <c r="AA50" s="306">
        <f>AA$81*'Molecular Weights'!$AI59</f>
        <v>0</v>
      </c>
      <c r="AB50" s="64">
        <f>AA50*'Molecular Weights'!$B$59/AB79</f>
        <v>0</v>
      </c>
      <c r="AC50" s="306">
        <f>AC$81*'Molecular Weights'!$AI59</f>
        <v>0</v>
      </c>
      <c r="AD50" s="62">
        <f>AC50*'Molecular Weights'!$B$59/AD79</f>
        <v>0</v>
      </c>
      <c r="AE50" s="306">
        <f>AE$81*'Molecular Weights'!$AI59</f>
        <v>0</v>
      </c>
      <c r="AF50" s="62">
        <f>AE50*'Molecular Weights'!$B$59/AF79</f>
        <v>0</v>
      </c>
      <c r="AG50" s="306">
        <f>AG$81*'Molecular Weights'!$E59</f>
        <v>0</v>
      </c>
      <c r="AH50" s="62">
        <f>AG50*'Molecular Weights'!$B$59/AH79</f>
        <v>0</v>
      </c>
      <c r="AI50" s="306">
        <f>AI$81*'Molecular Weights'!$E59</f>
        <v>0</v>
      </c>
      <c r="AJ50" s="62">
        <f>AI50*'Molecular Weights'!$B$59/AJ79</f>
        <v>0</v>
      </c>
      <c r="AK50" s="306">
        <f>AK$81*'Molecular Weights'!$E59</f>
        <v>0</v>
      </c>
      <c r="AL50" s="62">
        <f>AK50*'Molecular Weights'!$B$59/AL79</f>
        <v>0</v>
      </c>
      <c r="AM50" s="24">
        <f t="shared" si="3"/>
        <v>0</v>
      </c>
      <c r="AN50" s="24">
        <f>AM50*'Molecular Weights'!$B$59/AN79</f>
        <v>0</v>
      </c>
      <c r="AO50" s="300" t="e">
        <f>#REF!*'Molecular Weights'!$B$59/AO79</f>
        <v>#REF!</v>
      </c>
    </row>
    <row r="51" spans="2:41" ht="15" hidden="1" thickBot="1" x14ac:dyDescent="0.4">
      <c r="B51" s="298" t="s">
        <v>202</v>
      </c>
      <c r="C51" s="200">
        <v>0</v>
      </c>
      <c r="D51" s="297">
        <f>C51*'Molecular Weights'!$B$60/D79</f>
        <v>0</v>
      </c>
      <c r="E51" s="200">
        <v>0</v>
      </c>
      <c r="F51" s="304">
        <f>E51*'Molecular Weights'!$B$60/F79</f>
        <v>0</v>
      </c>
      <c r="G51" s="200">
        <v>0</v>
      </c>
      <c r="H51" s="304">
        <f>G51*'Molecular Weights'!$B$60/H79</f>
        <v>0</v>
      </c>
      <c r="I51" s="200">
        <v>0</v>
      </c>
      <c r="J51" s="297">
        <f>I51*'Molecular Weights'!$B$60/J79</f>
        <v>0</v>
      </c>
      <c r="K51" s="202">
        <v>0</v>
      </c>
      <c r="L51" s="297">
        <f>K51*'Molecular Weights'!$B$60/L79</f>
        <v>0</v>
      </c>
      <c r="M51" s="202">
        <v>0</v>
      </c>
      <c r="N51" s="296">
        <f>M51*'Molecular Weights'!$B$60/N79</f>
        <v>0</v>
      </c>
      <c r="O51" s="201">
        <v>0</v>
      </c>
      <c r="P51" s="297">
        <f>O51*'Molecular Weights'!$B$60/P79</f>
        <v>0</v>
      </c>
      <c r="Q51" s="200">
        <v>0</v>
      </c>
      <c r="R51" s="296">
        <f>Q51*'Molecular Weights'!$B$60/R79</f>
        <v>0</v>
      </c>
      <c r="S51" s="200">
        <v>0</v>
      </c>
      <c r="T51" s="296">
        <f>S51*'Molecular Weights'!$B$60/T79</f>
        <v>0</v>
      </c>
      <c r="U51" s="200">
        <v>0</v>
      </c>
      <c r="V51" s="296">
        <f>U51*'Molecular Weights'!$B$60/V79</f>
        <v>0</v>
      </c>
      <c r="W51" s="200">
        <v>0</v>
      </c>
      <c r="X51" s="296">
        <f>W51*'Molecular Weights'!$B$60/X79</f>
        <v>0</v>
      </c>
      <c r="Y51" s="200">
        <v>0</v>
      </c>
      <c r="Z51" s="296">
        <f>Y51*'Molecular Weights'!$B$60/Z79</f>
        <v>0</v>
      </c>
      <c r="AA51" s="305">
        <f>AA$81*'Molecular Weights'!$AI60</f>
        <v>0</v>
      </c>
      <c r="AB51" s="297">
        <f>AA51*'Molecular Weights'!$B$60/AB79</f>
        <v>0</v>
      </c>
      <c r="AC51" s="305">
        <f>AC$81*'Molecular Weights'!$AI60</f>
        <v>0</v>
      </c>
      <c r="AD51" s="296">
        <f>AC51*'Molecular Weights'!$B$60/AD79</f>
        <v>0</v>
      </c>
      <c r="AE51" s="305">
        <f>AE$81*'Molecular Weights'!$AI60</f>
        <v>0</v>
      </c>
      <c r="AF51" s="296">
        <f>AE51*'Molecular Weights'!$B$60/AF79</f>
        <v>0</v>
      </c>
      <c r="AG51" s="305">
        <f>AG$81*'Molecular Weights'!$E60</f>
        <v>0</v>
      </c>
      <c r="AH51" s="296">
        <f>AG51*'Molecular Weights'!$B$60/AH79</f>
        <v>0</v>
      </c>
      <c r="AI51" s="305">
        <f>AI$81*'Molecular Weights'!$E60</f>
        <v>0</v>
      </c>
      <c r="AJ51" s="296">
        <f>AI51*'Molecular Weights'!$B$60/AJ79</f>
        <v>0</v>
      </c>
      <c r="AK51" s="305">
        <f>AK$81*'Molecular Weights'!$E60</f>
        <v>0</v>
      </c>
      <c r="AL51" s="296">
        <f>AK51*'Molecular Weights'!$B$60/AL79</f>
        <v>0</v>
      </c>
      <c r="AM51" s="24">
        <f t="shared" si="3"/>
        <v>0</v>
      </c>
      <c r="AN51" s="24">
        <f>AM51*'Molecular Weights'!$B$60/AN79</f>
        <v>0</v>
      </c>
      <c r="AO51" s="300" t="e">
        <f>#REF!*'Molecular Weights'!$B$60/AO79</f>
        <v>#REF!</v>
      </c>
    </row>
    <row r="52" spans="2:41" ht="15" hidden="1" thickBot="1" x14ac:dyDescent="0.4">
      <c r="B52" s="298" t="s">
        <v>162</v>
      </c>
      <c r="C52" s="200">
        <v>0</v>
      </c>
      <c r="D52" s="297">
        <f>C52*'Molecular Weights'!$B$61/D79</f>
        <v>0</v>
      </c>
      <c r="E52" s="200">
        <v>0</v>
      </c>
      <c r="F52" s="304">
        <f>E52*'Molecular Weights'!$B$61/F79</f>
        <v>0</v>
      </c>
      <c r="G52" s="200">
        <v>0</v>
      </c>
      <c r="H52" s="304">
        <f>G52*'Molecular Weights'!$B$61/H79</f>
        <v>0</v>
      </c>
      <c r="I52" s="200">
        <v>0</v>
      </c>
      <c r="J52" s="297">
        <f>I52*'Molecular Weights'!$B$61/J79</f>
        <v>0</v>
      </c>
      <c r="K52" s="202">
        <v>0</v>
      </c>
      <c r="L52" s="297">
        <f>K52*'Molecular Weights'!$B$61/L79</f>
        <v>0</v>
      </c>
      <c r="M52" s="202">
        <v>0</v>
      </c>
      <c r="N52" s="296">
        <f>M52*'Molecular Weights'!$B$61/N79</f>
        <v>0</v>
      </c>
      <c r="O52" s="201">
        <v>0</v>
      </c>
      <c r="P52" s="297">
        <f>O52*'Molecular Weights'!$B$61/P79</f>
        <v>0</v>
      </c>
      <c r="Q52" s="200">
        <v>0</v>
      </c>
      <c r="R52" s="296">
        <f>Q52*'Molecular Weights'!$B$61/R79</f>
        <v>0</v>
      </c>
      <c r="S52" s="200">
        <v>0</v>
      </c>
      <c r="T52" s="296">
        <f>S52*'Molecular Weights'!$B$61/T79</f>
        <v>0</v>
      </c>
      <c r="U52" s="200">
        <v>0</v>
      </c>
      <c r="V52" s="296">
        <f>U52*'Molecular Weights'!$B$61/V79</f>
        <v>0</v>
      </c>
      <c r="W52" s="200">
        <v>0</v>
      </c>
      <c r="X52" s="296">
        <f>W52*'Molecular Weights'!$B$61/X79</f>
        <v>0</v>
      </c>
      <c r="Y52" s="200">
        <v>0</v>
      </c>
      <c r="Z52" s="296">
        <f>Y52*'Molecular Weights'!$B$61/Z79</f>
        <v>0</v>
      </c>
      <c r="AA52" s="305">
        <f>AA$81*'Molecular Weights'!$AI61</f>
        <v>0</v>
      </c>
      <c r="AB52" s="297">
        <f>AA52*'Molecular Weights'!$B$61/AB79</f>
        <v>0</v>
      </c>
      <c r="AC52" s="305">
        <f>AC$81*'Molecular Weights'!$AI61</f>
        <v>0</v>
      </c>
      <c r="AD52" s="296">
        <f>AC52*'Molecular Weights'!$B$61/AD79</f>
        <v>0</v>
      </c>
      <c r="AE52" s="305">
        <f>AE$81*'Molecular Weights'!$AI61</f>
        <v>0</v>
      </c>
      <c r="AF52" s="296">
        <f>AE52*'Molecular Weights'!$B$61/AF79</f>
        <v>0</v>
      </c>
      <c r="AG52" s="305">
        <f>AG$81*'Molecular Weights'!$E61</f>
        <v>0</v>
      </c>
      <c r="AH52" s="296">
        <f>AG52*'Molecular Weights'!$B$61/AH79</f>
        <v>0</v>
      </c>
      <c r="AI52" s="305">
        <f>AI$81*'Molecular Weights'!$E61</f>
        <v>0</v>
      </c>
      <c r="AJ52" s="296">
        <f>AI52*'Molecular Weights'!$B$61/AJ79</f>
        <v>0</v>
      </c>
      <c r="AK52" s="305">
        <f>AK$81*'Molecular Weights'!$E61</f>
        <v>0</v>
      </c>
      <c r="AL52" s="296">
        <f>AK52*'Molecular Weights'!$B$61/AL79</f>
        <v>0</v>
      </c>
      <c r="AM52" s="24">
        <f t="shared" si="3"/>
        <v>0</v>
      </c>
      <c r="AN52" s="24">
        <f>AM52*'Molecular Weights'!$B$61/AN79</f>
        <v>0</v>
      </c>
      <c r="AO52" s="300" t="e">
        <f>#REF!*'Molecular Weights'!$B$61/AO79</f>
        <v>#REF!</v>
      </c>
    </row>
    <row r="53" spans="2:41" ht="15" hidden="1" thickBot="1" x14ac:dyDescent="0.4">
      <c r="B53" s="298" t="s">
        <v>302</v>
      </c>
      <c r="C53" s="200">
        <v>0</v>
      </c>
      <c r="D53" s="297">
        <f>C53*'Molecular Weights'!$B$62/D79</f>
        <v>0</v>
      </c>
      <c r="E53" s="200">
        <v>0</v>
      </c>
      <c r="F53" s="304">
        <f>E53*'Molecular Weights'!$B$62/F79</f>
        <v>0</v>
      </c>
      <c r="G53" s="200">
        <v>0</v>
      </c>
      <c r="H53" s="304">
        <f>G53*'Molecular Weights'!$B$62/H79</f>
        <v>0</v>
      </c>
      <c r="I53" s="194">
        <v>0</v>
      </c>
      <c r="J53" s="193">
        <f>I53*'Molecular Weights'!$B$62/J79</f>
        <v>0</v>
      </c>
      <c r="K53" s="196">
        <v>0</v>
      </c>
      <c r="L53" s="193">
        <f>K53*'Molecular Weights'!$B$62/L79</f>
        <v>0</v>
      </c>
      <c r="M53" s="200">
        <v>0</v>
      </c>
      <c r="N53" s="296">
        <f>M53*'Molecular Weights'!$B$62/N79</f>
        <v>0</v>
      </c>
      <c r="O53" s="303">
        <v>0</v>
      </c>
      <c r="P53" s="193">
        <f>O53*'Molecular Weights'!$B$62/P79</f>
        <v>0</v>
      </c>
      <c r="Q53" s="194">
        <v>0</v>
      </c>
      <c r="R53" s="301">
        <f>Q53*'Molecular Weights'!$B$62/R79</f>
        <v>0</v>
      </c>
      <c r="S53" s="194">
        <v>0</v>
      </c>
      <c r="T53" s="301">
        <f>S53*'Molecular Weights'!$B$62/T79</f>
        <v>0</v>
      </c>
      <c r="U53" s="200">
        <v>0</v>
      </c>
      <c r="V53" s="296">
        <f>U53*'Molecular Weights'!$B$62/V79</f>
        <v>0</v>
      </c>
      <c r="W53" s="200">
        <v>0</v>
      </c>
      <c r="X53" s="296">
        <f>W53*'Molecular Weights'!$B$62/X79</f>
        <v>0</v>
      </c>
      <c r="Y53" s="200">
        <v>0</v>
      </c>
      <c r="Z53" s="296">
        <f>Y53*'Molecular Weights'!$B$62/Z79</f>
        <v>0</v>
      </c>
      <c r="AA53" s="302">
        <f>AA$81*'Molecular Weights'!$AI62</f>
        <v>0</v>
      </c>
      <c r="AB53" s="193">
        <f>AA53*'Molecular Weights'!$B$62/AB79</f>
        <v>0</v>
      </c>
      <c r="AC53" s="302">
        <f>AC$81*'Molecular Weights'!$AI62</f>
        <v>0</v>
      </c>
      <c r="AD53" s="301">
        <f>AC53*'Molecular Weights'!$B$62/AD79</f>
        <v>0</v>
      </c>
      <c r="AE53" s="302">
        <f>AE$81*'Molecular Weights'!$AI62</f>
        <v>0</v>
      </c>
      <c r="AF53" s="301">
        <f>AE53*'Molecular Weights'!$B$62/AF79</f>
        <v>0</v>
      </c>
      <c r="AG53" s="302">
        <f>AG$81*'Molecular Weights'!$E62</f>
        <v>0</v>
      </c>
      <c r="AH53" s="301">
        <f>AG53*'Molecular Weights'!$B$62/AH79</f>
        <v>0</v>
      </c>
      <c r="AI53" s="302">
        <f>AI$81*'Molecular Weights'!$E62</f>
        <v>0</v>
      </c>
      <c r="AJ53" s="301">
        <f>AI53*'Molecular Weights'!$B$62/AJ79</f>
        <v>0</v>
      </c>
      <c r="AK53" s="302">
        <f>AK$81*'Molecular Weights'!$E62</f>
        <v>0</v>
      </c>
      <c r="AL53" s="301">
        <f>AK53*'Molecular Weights'!$B$62/AL79</f>
        <v>0</v>
      </c>
      <c r="AM53" s="24">
        <f t="shared" si="3"/>
        <v>0</v>
      </c>
      <c r="AN53" s="24">
        <f>AM53*'Molecular Weights'!$B$62/AN79</f>
        <v>0</v>
      </c>
      <c r="AO53" s="300" t="e">
        <f>#REF!*'Molecular Weights'!$B$62/AO79</f>
        <v>#REF!</v>
      </c>
    </row>
    <row r="54" spans="2:41" ht="15" hidden="1" thickBot="1" x14ac:dyDescent="0.4">
      <c r="B54" s="228"/>
      <c r="C54" s="113">
        <v>0</v>
      </c>
      <c r="D54" s="221">
        <f>C54*'Molecular Weights'!$B$42/D79</f>
        <v>0</v>
      </c>
      <c r="E54" s="113">
        <v>0</v>
      </c>
      <c r="F54" s="314">
        <f>E54*'Molecular Weights'!$B$42/F79</f>
        <v>0</v>
      </c>
      <c r="G54" s="113">
        <v>0</v>
      </c>
      <c r="H54" s="314">
        <f>G54*'Molecular Weights'!$B$42/H79</f>
        <v>0</v>
      </c>
      <c r="I54" s="222"/>
      <c r="J54" s="108"/>
      <c r="K54" s="114"/>
      <c r="L54" s="221"/>
      <c r="M54" s="114"/>
      <c r="N54" s="49"/>
      <c r="O54" s="227"/>
      <c r="P54" s="108"/>
      <c r="Q54" s="318"/>
      <c r="R54" s="108"/>
      <c r="S54" s="318"/>
      <c r="T54" s="108"/>
      <c r="U54" s="318"/>
      <c r="V54" s="108"/>
      <c r="W54" s="318"/>
      <c r="X54" s="108"/>
      <c r="Y54" s="318"/>
      <c r="Z54" s="108"/>
      <c r="AA54" s="317">
        <f>AA$81*'Molecular Weights'!$AI42</f>
        <v>0</v>
      </c>
      <c r="AB54" s="221">
        <f>AA54*'Molecular Weights'!$B$42/AB79</f>
        <v>0</v>
      </c>
      <c r="AC54" s="317">
        <f>AC$81*'Molecular Weights'!$AI42</f>
        <v>0</v>
      </c>
      <c r="AD54" s="49">
        <f>AC54*'Molecular Weights'!$B$42/AD79</f>
        <v>0</v>
      </c>
      <c r="AE54" s="317">
        <f>AE$81*'Molecular Weights'!$AI42</f>
        <v>0</v>
      </c>
      <c r="AF54" s="49">
        <f>AE54*'Molecular Weights'!$B$42/AF79</f>
        <v>0</v>
      </c>
      <c r="AG54" s="317"/>
      <c r="AH54" s="49">
        <f>AG54*'Molecular Weights'!$B$42/AH79</f>
        <v>0</v>
      </c>
      <c r="AI54" s="317"/>
      <c r="AJ54" s="49">
        <f>AI54*'Molecular Weights'!$B$42/AJ79</f>
        <v>0</v>
      </c>
      <c r="AK54" s="317"/>
      <c r="AL54" s="49">
        <f>AK54*'Molecular Weights'!$B$42/AL79</f>
        <v>0</v>
      </c>
      <c r="AM54" s="24">
        <f t="shared" si="3"/>
        <v>0</v>
      </c>
      <c r="AN54" s="24">
        <f>AM54*'Molecular Weights'!$B$42/AN79</f>
        <v>0</v>
      </c>
      <c r="AO54" s="300" t="e">
        <f>#REF!*'Molecular Weights'!$B$42/AO79</f>
        <v>#REF!</v>
      </c>
    </row>
    <row r="55" spans="2:41" ht="15" hidden="1" thickBot="1" x14ac:dyDescent="0.4">
      <c r="B55" s="315" t="s">
        <v>317</v>
      </c>
      <c r="C55" s="316">
        <v>0</v>
      </c>
      <c r="D55" s="221">
        <f>C55*'Molecular Weights'!$B$43/D79</f>
        <v>0</v>
      </c>
      <c r="E55" s="113">
        <v>0</v>
      </c>
      <c r="F55" s="314">
        <f>E55*'Molecular Weights'!$B$43/F79</f>
        <v>0</v>
      </c>
      <c r="G55" s="113">
        <v>0</v>
      </c>
      <c r="H55" s="314">
        <f>G55*'Molecular Weights'!$B$43/H79</f>
        <v>0</v>
      </c>
      <c r="I55" s="215">
        <v>0</v>
      </c>
      <c r="J55" s="221">
        <f>I55*'Molecular Weights'!$B$43/J79</f>
        <v>0</v>
      </c>
      <c r="K55" s="114">
        <v>0</v>
      </c>
      <c r="L55" s="221">
        <f>K55*'Molecular Weights'!$B$43/L79</f>
        <v>0</v>
      </c>
      <c r="M55" s="118">
        <v>0</v>
      </c>
      <c r="N55" s="49">
        <f>M55*'Molecular Weights'!$B$43/N79</f>
        <v>0</v>
      </c>
      <c r="O55" s="216">
        <v>0</v>
      </c>
      <c r="P55" s="221">
        <f>O55*'Molecular Weights'!$B$43/P79</f>
        <v>0</v>
      </c>
      <c r="Q55" s="215">
        <v>0</v>
      </c>
      <c r="R55" s="49">
        <f>Q55*'Molecular Weights'!$B$43/R79</f>
        <v>0</v>
      </c>
      <c r="S55" s="215">
        <v>0</v>
      </c>
      <c r="T55" s="49">
        <f>S55*'Molecular Weights'!$B$43/T79</f>
        <v>0</v>
      </c>
      <c r="U55" s="215">
        <v>0</v>
      </c>
      <c r="V55" s="49">
        <f>U55*'Molecular Weights'!$B$43/V79</f>
        <v>0</v>
      </c>
      <c r="W55" s="215">
        <v>0</v>
      </c>
      <c r="X55" s="49">
        <f>W55*'Molecular Weights'!$B$43/X79</f>
        <v>0</v>
      </c>
      <c r="Y55" s="215">
        <v>0</v>
      </c>
      <c r="Z55" s="49">
        <f>Y55*'Molecular Weights'!$B$43/Z79</f>
        <v>0</v>
      </c>
      <c r="AA55" s="312">
        <f>AA$81*'Molecular Weights'!$AI43</f>
        <v>0</v>
      </c>
      <c r="AB55" s="221">
        <f>AA55*'Molecular Weights'!$B$43/AB79</f>
        <v>0</v>
      </c>
      <c r="AC55" s="312">
        <f>AC$81*'Molecular Weights'!$AI43</f>
        <v>0</v>
      </c>
      <c r="AD55" s="49">
        <f>AC55*'Molecular Weights'!$B$43/AD79</f>
        <v>0</v>
      </c>
      <c r="AE55" s="312">
        <f>AE$81*'Molecular Weights'!$AI43</f>
        <v>0</v>
      </c>
      <c r="AF55" s="49">
        <f>AE55*'Molecular Weights'!$B$43/AF79</f>
        <v>0</v>
      </c>
      <c r="AG55" s="312">
        <f>AG$81*'Molecular Weights'!$E43</f>
        <v>0</v>
      </c>
      <c r="AH55" s="49">
        <f>AG55*'Molecular Weights'!$B$43/AH79</f>
        <v>0</v>
      </c>
      <c r="AI55" s="312">
        <f>AI$81*'Molecular Weights'!$E43</f>
        <v>0</v>
      </c>
      <c r="AJ55" s="49">
        <f>AI55*'Molecular Weights'!$B$43/AJ79</f>
        <v>0</v>
      </c>
      <c r="AK55" s="312">
        <f>AK$81*'Molecular Weights'!$E43</f>
        <v>0</v>
      </c>
      <c r="AL55" s="49">
        <f>AK55*'Molecular Weights'!$B$43/AL79</f>
        <v>0</v>
      </c>
      <c r="AM55" s="24">
        <f t="shared" si="3"/>
        <v>0</v>
      </c>
      <c r="AN55" s="24">
        <f>AM55*'Molecular Weights'!$B$43/AN79</f>
        <v>0</v>
      </c>
      <c r="AO55" s="300" t="e">
        <f>#REF!*'Molecular Weights'!$B$43/AO79</f>
        <v>#REF!</v>
      </c>
    </row>
    <row r="56" spans="2:41" ht="15" hidden="1" thickBot="1" x14ac:dyDescent="0.4">
      <c r="B56" s="315" t="s">
        <v>316</v>
      </c>
      <c r="C56" s="316">
        <v>0</v>
      </c>
      <c r="D56" s="221">
        <f>C56*'Molecular Weights'!$B$44/D79</f>
        <v>0</v>
      </c>
      <c r="E56" s="113">
        <v>0</v>
      </c>
      <c r="F56" s="314">
        <f>E56*'Molecular Weights'!$B$44/F79</f>
        <v>0</v>
      </c>
      <c r="G56" s="113">
        <v>0</v>
      </c>
      <c r="H56" s="314">
        <f>G56*'Molecular Weights'!$B$44/H79</f>
        <v>0</v>
      </c>
      <c r="I56" s="215">
        <v>0</v>
      </c>
      <c r="J56" s="221">
        <f>I56*'Molecular Weights'!$B$44/J79</f>
        <v>0</v>
      </c>
      <c r="K56" s="114">
        <v>0</v>
      </c>
      <c r="L56" s="221">
        <f>K56*'Molecular Weights'!$B$44/L79</f>
        <v>0</v>
      </c>
      <c r="M56" s="118">
        <v>0</v>
      </c>
      <c r="N56" s="49">
        <f>M56*'Molecular Weights'!$B$44/N79</f>
        <v>0</v>
      </c>
      <c r="O56" s="216">
        <v>0</v>
      </c>
      <c r="P56" s="221">
        <f>O56*'Molecular Weights'!$B$44/P79</f>
        <v>0</v>
      </c>
      <c r="Q56" s="215">
        <v>0</v>
      </c>
      <c r="R56" s="49">
        <f>Q56*'Molecular Weights'!$B$44/R79</f>
        <v>0</v>
      </c>
      <c r="S56" s="215">
        <v>0</v>
      </c>
      <c r="T56" s="49">
        <f>S56*'Molecular Weights'!$B$44/T79</f>
        <v>0</v>
      </c>
      <c r="U56" s="215">
        <v>0</v>
      </c>
      <c r="V56" s="49">
        <f>U56*'Molecular Weights'!$B$44/V79</f>
        <v>0</v>
      </c>
      <c r="W56" s="215">
        <v>0</v>
      </c>
      <c r="X56" s="49">
        <f>W56*'Molecular Weights'!$B$44/X79</f>
        <v>0</v>
      </c>
      <c r="Y56" s="215">
        <v>0</v>
      </c>
      <c r="Z56" s="49">
        <f>Y56*'Molecular Weights'!$B$44/Z79</f>
        <v>0</v>
      </c>
      <c r="AA56" s="312">
        <f>AA$81*'Molecular Weights'!$AI44</f>
        <v>0</v>
      </c>
      <c r="AB56" s="221">
        <f>AA56*'Molecular Weights'!$B$44/AB79</f>
        <v>0</v>
      </c>
      <c r="AC56" s="312">
        <f>AC$81*'Molecular Weights'!$AI44</f>
        <v>0</v>
      </c>
      <c r="AD56" s="49">
        <f>AC56*'Molecular Weights'!$B$44/AD79</f>
        <v>0</v>
      </c>
      <c r="AE56" s="312">
        <f>AE$81*'Molecular Weights'!$AI44</f>
        <v>0</v>
      </c>
      <c r="AF56" s="49">
        <f>AE56*'Molecular Weights'!$B$44/AF79</f>
        <v>0</v>
      </c>
      <c r="AG56" s="312">
        <f>AG$81*'Molecular Weights'!$E44</f>
        <v>0</v>
      </c>
      <c r="AH56" s="49">
        <f>AG56*'Molecular Weights'!$B$44/AH79</f>
        <v>0</v>
      </c>
      <c r="AI56" s="312">
        <f>AI$81*'Molecular Weights'!$E44</f>
        <v>0</v>
      </c>
      <c r="AJ56" s="49">
        <f>AI56*'Molecular Weights'!$B$44/AJ79</f>
        <v>0</v>
      </c>
      <c r="AK56" s="312">
        <f>AK$81*'Molecular Weights'!$E44</f>
        <v>0</v>
      </c>
      <c r="AL56" s="49">
        <f>AK56*'Molecular Weights'!$B$44/AL79</f>
        <v>0</v>
      </c>
      <c r="AM56" s="24">
        <f t="shared" si="3"/>
        <v>0</v>
      </c>
      <c r="AN56" s="24">
        <f>AM56*'Molecular Weights'!$B$44/AN79</f>
        <v>0</v>
      </c>
      <c r="AO56" s="300" t="e">
        <f>#REF!*'Molecular Weights'!$B$44/AO79</f>
        <v>#REF!</v>
      </c>
    </row>
    <row r="57" spans="2:41" ht="15" hidden="1" thickBot="1" x14ac:dyDescent="0.4">
      <c r="B57" s="315" t="s">
        <v>315</v>
      </c>
      <c r="C57" s="316">
        <v>0</v>
      </c>
      <c r="D57" s="221">
        <f>C57*'Molecular Weights'!$B$45/D79</f>
        <v>0</v>
      </c>
      <c r="E57" s="113">
        <v>0</v>
      </c>
      <c r="F57" s="314">
        <f>E57*'Molecular Weights'!$B$45/F79</f>
        <v>0</v>
      </c>
      <c r="G57" s="113">
        <v>0</v>
      </c>
      <c r="H57" s="314">
        <f>G57*'Molecular Weights'!$B$45/H79</f>
        <v>0</v>
      </c>
      <c r="I57" s="215">
        <v>0</v>
      </c>
      <c r="J57" s="221">
        <f>I57*'Molecular Weights'!$B$45/J79</f>
        <v>0</v>
      </c>
      <c r="K57" s="114">
        <v>0</v>
      </c>
      <c r="L57" s="221">
        <f>K57*'Molecular Weights'!$B$45/L79</f>
        <v>0</v>
      </c>
      <c r="M57" s="118">
        <v>0</v>
      </c>
      <c r="N57" s="49">
        <f>M57*'Molecular Weights'!$B$45/N79</f>
        <v>0</v>
      </c>
      <c r="O57" s="216">
        <v>0</v>
      </c>
      <c r="P57" s="221">
        <f>O57*'Molecular Weights'!$B$45/P79</f>
        <v>0</v>
      </c>
      <c r="Q57" s="215">
        <v>0</v>
      </c>
      <c r="R57" s="49">
        <f>Q57*'Molecular Weights'!$B$45/R79</f>
        <v>0</v>
      </c>
      <c r="S57" s="215">
        <v>0</v>
      </c>
      <c r="T57" s="49">
        <f>S57*'Molecular Weights'!$B$45/T79</f>
        <v>0</v>
      </c>
      <c r="U57" s="215">
        <v>0</v>
      </c>
      <c r="V57" s="49">
        <f>U57*'Molecular Weights'!$B$45/V79</f>
        <v>0</v>
      </c>
      <c r="W57" s="215">
        <v>0</v>
      </c>
      <c r="X57" s="49">
        <f>W57*'Molecular Weights'!$B$45/X79</f>
        <v>0</v>
      </c>
      <c r="Y57" s="215">
        <v>0</v>
      </c>
      <c r="Z57" s="49">
        <f>Y57*'Molecular Weights'!$B$45/Z79</f>
        <v>0</v>
      </c>
      <c r="AA57" s="312">
        <f>AA$81*'Molecular Weights'!$AI45</f>
        <v>0</v>
      </c>
      <c r="AB57" s="221">
        <f>AA57*'Molecular Weights'!$B$45/AB79</f>
        <v>0</v>
      </c>
      <c r="AC57" s="312">
        <f>AC$81*'Molecular Weights'!$AI45</f>
        <v>0</v>
      </c>
      <c r="AD57" s="49">
        <f>AC57*'Molecular Weights'!$B$45/AD79</f>
        <v>0</v>
      </c>
      <c r="AE57" s="312">
        <f>AE$81*'Molecular Weights'!$AI45</f>
        <v>0</v>
      </c>
      <c r="AF57" s="49">
        <f>AE57*'Molecular Weights'!$B$45/AF79</f>
        <v>0</v>
      </c>
      <c r="AG57" s="312">
        <f>AG$81*'Molecular Weights'!$E45</f>
        <v>0</v>
      </c>
      <c r="AH57" s="49">
        <f>AG57*'Molecular Weights'!$B$45/AH79</f>
        <v>0</v>
      </c>
      <c r="AI57" s="312">
        <f>AI$81*'Molecular Weights'!$E45</f>
        <v>0</v>
      </c>
      <c r="AJ57" s="49">
        <f>AI57*'Molecular Weights'!$B$45/AJ79</f>
        <v>0</v>
      </c>
      <c r="AK57" s="312">
        <f>AK$81*'Molecular Weights'!$E45</f>
        <v>0</v>
      </c>
      <c r="AL57" s="49">
        <f>AK57*'Molecular Weights'!$B$45/AL79</f>
        <v>0</v>
      </c>
      <c r="AM57" s="24">
        <f t="shared" si="3"/>
        <v>0</v>
      </c>
      <c r="AN57" s="24">
        <f>AM57*'Molecular Weights'!$B$45/AN79</f>
        <v>0</v>
      </c>
      <c r="AO57" s="300" t="e">
        <f>#REF!*'Molecular Weights'!$B$45/AO79</f>
        <v>#REF!</v>
      </c>
    </row>
    <row r="58" spans="2:41" ht="15" hidden="1" thickBot="1" x14ac:dyDescent="0.4">
      <c r="B58" s="315" t="s">
        <v>314</v>
      </c>
      <c r="C58" s="316">
        <v>0</v>
      </c>
      <c r="D58" s="221">
        <f>C58*'Molecular Weights'!$B$46/D79</f>
        <v>0</v>
      </c>
      <c r="E58" s="113">
        <v>0</v>
      </c>
      <c r="F58" s="314">
        <f>E58*'Molecular Weights'!$B$46/F79</f>
        <v>0</v>
      </c>
      <c r="G58" s="113">
        <v>0</v>
      </c>
      <c r="H58" s="314">
        <f>G58*'Molecular Weights'!$B$46/H79</f>
        <v>0</v>
      </c>
      <c r="I58" s="215">
        <v>0</v>
      </c>
      <c r="J58" s="221">
        <f>I58*'Molecular Weights'!$B$46/J79</f>
        <v>0</v>
      </c>
      <c r="K58" s="114">
        <v>0</v>
      </c>
      <c r="L58" s="221">
        <f>K58*'Molecular Weights'!$B$46/L79</f>
        <v>0</v>
      </c>
      <c r="M58" s="118">
        <v>0</v>
      </c>
      <c r="N58" s="49">
        <f>M58*'Molecular Weights'!$B$46/N79</f>
        <v>0</v>
      </c>
      <c r="O58" s="216">
        <v>0</v>
      </c>
      <c r="P58" s="221">
        <f>O58*'Molecular Weights'!$B$46/P79</f>
        <v>0</v>
      </c>
      <c r="Q58" s="215">
        <v>0</v>
      </c>
      <c r="R58" s="49">
        <f>Q58*'Molecular Weights'!$B$46/R79</f>
        <v>0</v>
      </c>
      <c r="S58" s="215">
        <v>0</v>
      </c>
      <c r="T58" s="49">
        <f>S58*'Molecular Weights'!$B$46/T79</f>
        <v>0</v>
      </c>
      <c r="U58" s="215">
        <v>0</v>
      </c>
      <c r="V58" s="49">
        <f>U58*'Molecular Weights'!$B$46/V79</f>
        <v>0</v>
      </c>
      <c r="W58" s="215">
        <v>0</v>
      </c>
      <c r="X58" s="49">
        <f>W58*'Molecular Weights'!$B$46/X79</f>
        <v>0</v>
      </c>
      <c r="Y58" s="215">
        <v>0</v>
      </c>
      <c r="Z58" s="49">
        <f>Y58*'Molecular Weights'!$B$46/Z79</f>
        <v>0</v>
      </c>
      <c r="AA58" s="312">
        <f>AA$81*'Molecular Weights'!$AI46</f>
        <v>0</v>
      </c>
      <c r="AB58" s="221">
        <f>AA58*'Molecular Weights'!$B$46/AB79</f>
        <v>0</v>
      </c>
      <c r="AC58" s="312">
        <f>AC$81*'Molecular Weights'!$AI46</f>
        <v>0</v>
      </c>
      <c r="AD58" s="49">
        <f>AC58*'Molecular Weights'!$B$46/AD79</f>
        <v>0</v>
      </c>
      <c r="AE58" s="312">
        <f>AE$81*'Molecular Weights'!$AI46</f>
        <v>0</v>
      </c>
      <c r="AF58" s="49">
        <f>AE58*'Molecular Weights'!$B$46/AF79</f>
        <v>0</v>
      </c>
      <c r="AG58" s="312">
        <f>AG$81*'Molecular Weights'!$E46</f>
        <v>0</v>
      </c>
      <c r="AH58" s="49">
        <f>AG58*'Molecular Weights'!$B$46/AH79</f>
        <v>0</v>
      </c>
      <c r="AI58" s="312">
        <f>AI$81*'Molecular Weights'!$E46</f>
        <v>0</v>
      </c>
      <c r="AJ58" s="49">
        <f>AI58*'Molecular Weights'!$B$46/AJ79</f>
        <v>0</v>
      </c>
      <c r="AK58" s="312">
        <f>AK$81*'Molecular Weights'!$E46</f>
        <v>0</v>
      </c>
      <c r="AL58" s="49">
        <f>AK58*'Molecular Weights'!$B$46/AL79</f>
        <v>0</v>
      </c>
      <c r="AM58" s="24">
        <f t="shared" si="3"/>
        <v>0</v>
      </c>
      <c r="AN58" s="24">
        <f>AM58*'Molecular Weights'!$B$46/AN79</f>
        <v>0</v>
      </c>
      <c r="AO58" s="300" t="e">
        <f>#REF!*'Molecular Weights'!$B$46/AO79</f>
        <v>#REF!</v>
      </c>
    </row>
    <row r="59" spans="2:41" ht="15" hidden="1" thickBot="1" x14ac:dyDescent="0.4">
      <c r="B59" s="315" t="s">
        <v>313</v>
      </c>
      <c r="C59" s="316">
        <v>0</v>
      </c>
      <c r="D59" s="221">
        <f>C59*'Molecular Weights'!$B$47/D79</f>
        <v>0</v>
      </c>
      <c r="E59" s="113">
        <v>0</v>
      </c>
      <c r="F59" s="314">
        <f>E59*'Molecular Weights'!$B$47/F79</f>
        <v>0</v>
      </c>
      <c r="G59" s="113">
        <v>0</v>
      </c>
      <c r="H59" s="314">
        <f>G59*'Molecular Weights'!$B$47/H79</f>
        <v>0</v>
      </c>
      <c r="I59" s="215">
        <v>0</v>
      </c>
      <c r="J59" s="221">
        <f>I59*'Molecular Weights'!$B$47/J79</f>
        <v>0</v>
      </c>
      <c r="K59" s="114">
        <v>0</v>
      </c>
      <c r="L59" s="221">
        <f>K59*'Molecular Weights'!$B$47/L79</f>
        <v>0</v>
      </c>
      <c r="M59" s="118">
        <v>0</v>
      </c>
      <c r="N59" s="49">
        <f>M59*'Molecular Weights'!$B$47/N79</f>
        <v>0</v>
      </c>
      <c r="O59" s="216">
        <v>0</v>
      </c>
      <c r="P59" s="221">
        <f>O59*'Molecular Weights'!$B$47/P79</f>
        <v>0</v>
      </c>
      <c r="Q59" s="215">
        <v>0</v>
      </c>
      <c r="R59" s="49">
        <f>Q59*'Molecular Weights'!$B$47/R79</f>
        <v>0</v>
      </c>
      <c r="S59" s="215">
        <v>0</v>
      </c>
      <c r="T59" s="49">
        <f>S59*'Molecular Weights'!$B$47/T79</f>
        <v>0</v>
      </c>
      <c r="U59" s="215">
        <v>0</v>
      </c>
      <c r="V59" s="49">
        <f>U59*'Molecular Weights'!$B$47/V79</f>
        <v>0</v>
      </c>
      <c r="W59" s="215">
        <v>0</v>
      </c>
      <c r="X59" s="49">
        <f>W59*'Molecular Weights'!$B$47/X79</f>
        <v>0</v>
      </c>
      <c r="Y59" s="215">
        <v>0</v>
      </c>
      <c r="Z59" s="49">
        <f>Y59*'Molecular Weights'!$B$47/Z79</f>
        <v>0</v>
      </c>
      <c r="AA59" s="312">
        <f>AA$81*'Molecular Weights'!$AI47</f>
        <v>0</v>
      </c>
      <c r="AB59" s="221">
        <f>AA59*'Molecular Weights'!$B$47/AB79</f>
        <v>0</v>
      </c>
      <c r="AC59" s="312">
        <f>AC$81*'Molecular Weights'!$AI47</f>
        <v>0</v>
      </c>
      <c r="AD59" s="49">
        <f>AC59*'Molecular Weights'!$B$47/AD79</f>
        <v>0</v>
      </c>
      <c r="AE59" s="312">
        <f>AE$81*'Molecular Weights'!$AI47</f>
        <v>0</v>
      </c>
      <c r="AF59" s="49">
        <f>AE59*'Molecular Weights'!$B$47/AF79</f>
        <v>0</v>
      </c>
      <c r="AG59" s="312">
        <f>AG$81*'Molecular Weights'!$E47</f>
        <v>0</v>
      </c>
      <c r="AH59" s="49">
        <f>AG59*'Molecular Weights'!$B$47/AH79</f>
        <v>0</v>
      </c>
      <c r="AI59" s="312">
        <f>AI$81*'Molecular Weights'!$E47</f>
        <v>0</v>
      </c>
      <c r="AJ59" s="49">
        <f>AI59*'Molecular Weights'!$B$47/AJ79</f>
        <v>0</v>
      </c>
      <c r="AK59" s="312">
        <f>AK$81*'Molecular Weights'!$E47</f>
        <v>0</v>
      </c>
      <c r="AL59" s="49">
        <f>AK59*'Molecular Weights'!$B$47/AL79</f>
        <v>0</v>
      </c>
      <c r="AM59" s="24">
        <f t="shared" si="3"/>
        <v>0</v>
      </c>
      <c r="AN59" s="24">
        <f>AM59*'Molecular Weights'!$B$47/AN79</f>
        <v>0</v>
      </c>
      <c r="AO59" s="300" t="e">
        <f>#REF!*'Molecular Weights'!$B$47/AO79</f>
        <v>#REF!</v>
      </c>
    </row>
    <row r="60" spans="2:41" ht="15" hidden="1" thickBot="1" x14ac:dyDescent="0.4">
      <c r="B60" s="315" t="s">
        <v>312</v>
      </c>
      <c r="C60" s="316">
        <v>0</v>
      </c>
      <c r="D60" s="221">
        <f>C60*'Molecular Weights'!$B$48/D79</f>
        <v>0</v>
      </c>
      <c r="E60" s="113">
        <v>0</v>
      </c>
      <c r="F60" s="314">
        <f>E60*'Molecular Weights'!$B$48/F79</f>
        <v>0</v>
      </c>
      <c r="G60" s="113">
        <v>0</v>
      </c>
      <c r="H60" s="314">
        <f>G60*'Molecular Weights'!$B$48/H79</f>
        <v>0</v>
      </c>
      <c r="I60" s="215">
        <v>0</v>
      </c>
      <c r="J60" s="221">
        <f>I60*'Molecular Weights'!$B$48/J79</f>
        <v>0</v>
      </c>
      <c r="K60" s="114">
        <v>0</v>
      </c>
      <c r="L60" s="221">
        <f>K60*'Molecular Weights'!$B$48/L79</f>
        <v>0</v>
      </c>
      <c r="M60" s="118">
        <v>0</v>
      </c>
      <c r="N60" s="49">
        <f>M60*'Molecular Weights'!$B$48/N79</f>
        <v>0</v>
      </c>
      <c r="O60" s="216">
        <v>0</v>
      </c>
      <c r="P60" s="221">
        <f>O60*'Molecular Weights'!$B$48/P79</f>
        <v>0</v>
      </c>
      <c r="Q60" s="215">
        <v>0</v>
      </c>
      <c r="R60" s="49">
        <f>Q60*'Molecular Weights'!$B$48/R79</f>
        <v>0</v>
      </c>
      <c r="S60" s="215">
        <v>0</v>
      </c>
      <c r="T60" s="49">
        <f>S60*'Molecular Weights'!$B$48/T79</f>
        <v>0</v>
      </c>
      <c r="U60" s="215">
        <v>0</v>
      </c>
      <c r="V60" s="49">
        <f>U60*'Molecular Weights'!$B$48/V79</f>
        <v>0</v>
      </c>
      <c r="W60" s="215">
        <v>0</v>
      </c>
      <c r="X60" s="49">
        <f>W60*'Molecular Weights'!$B$48/X79</f>
        <v>0</v>
      </c>
      <c r="Y60" s="215">
        <v>0</v>
      </c>
      <c r="Z60" s="49">
        <f>Y60*'Molecular Weights'!$B$48/Z79</f>
        <v>0</v>
      </c>
      <c r="AA60" s="312">
        <f>AA$81*'Molecular Weights'!$AI48</f>
        <v>0</v>
      </c>
      <c r="AB60" s="221">
        <f>AA60*'Molecular Weights'!$B$48/AB79</f>
        <v>0</v>
      </c>
      <c r="AC60" s="312">
        <f>AC$81*'Molecular Weights'!$AI48</f>
        <v>0</v>
      </c>
      <c r="AD60" s="49">
        <f>AC60*'Molecular Weights'!$B$48/AD79</f>
        <v>0</v>
      </c>
      <c r="AE60" s="312">
        <f>AE$81*'Molecular Weights'!$AI48</f>
        <v>0</v>
      </c>
      <c r="AF60" s="49">
        <f>AE60*'Molecular Weights'!$B$48/AF79</f>
        <v>0</v>
      </c>
      <c r="AG60" s="312">
        <f>AG$81*'Molecular Weights'!$E48</f>
        <v>0</v>
      </c>
      <c r="AH60" s="49">
        <f>AG60*'Molecular Weights'!$B$48/AH79</f>
        <v>0</v>
      </c>
      <c r="AI60" s="312">
        <f>AI$81*'Molecular Weights'!$E48</f>
        <v>0</v>
      </c>
      <c r="AJ60" s="49">
        <f>AI60*'Molecular Weights'!$B$48/AJ79</f>
        <v>0</v>
      </c>
      <c r="AK60" s="312">
        <f>AK$81*'Molecular Weights'!$E48</f>
        <v>0</v>
      </c>
      <c r="AL60" s="49">
        <f>AK60*'Molecular Weights'!$B$48/AL79</f>
        <v>0</v>
      </c>
      <c r="AM60" s="24">
        <f t="shared" si="3"/>
        <v>0</v>
      </c>
      <c r="AN60" s="24">
        <f>AM60*'Molecular Weights'!$B$48/AN79</f>
        <v>0</v>
      </c>
      <c r="AO60" s="300" t="e">
        <f>#REF!*'Molecular Weights'!$B$48/AO79</f>
        <v>#REF!</v>
      </c>
    </row>
    <row r="61" spans="2:41" ht="15" hidden="1" thickBot="1" x14ac:dyDescent="0.4">
      <c r="B61" s="315" t="s">
        <v>311</v>
      </c>
      <c r="C61" s="316">
        <v>0</v>
      </c>
      <c r="D61" s="221">
        <f>C61*'Molecular Weights'!$B$49/D79</f>
        <v>0</v>
      </c>
      <c r="E61" s="113">
        <v>0</v>
      </c>
      <c r="F61" s="314">
        <f>E61*'Molecular Weights'!$B$49/F79</f>
        <v>0</v>
      </c>
      <c r="G61" s="113">
        <v>0</v>
      </c>
      <c r="H61" s="314">
        <f>G61*'Molecular Weights'!$B$49/H79</f>
        <v>0</v>
      </c>
      <c r="I61" s="215">
        <v>0</v>
      </c>
      <c r="J61" s="221">
        <f>I61*'Molecular Weights'!$B$49/J79</f>
        <v>0</v>
      </c>
      <c r="K61" s="114">
        <v>0</v>
      </c>
      <c r="L61" s="221">
        <f>K61*'Molecular Weights'!$B$49/L79</f>
        <v>0</v>
      </c>
      <c r="M61" s="118">
        <v>0</v>
      </c>
      <c r="N61" s="49">
        <f>M61*'Molecular Weights'!$B$49/N79</f>
        <v>0</v>
      </c>
      <c r="O61" s="216">
        <v>0</v>
      </c>
      <c r="P61" s="221">
        <f>O61*'Molecular Weights'!$B$49/P79</f>
        <v>0</v>
      </c>
      <c r="Q61" s="215">
        <v>0</v>
      </c>
      <c r="R61" s="49">
        <f>Q61*'Molecular Weights'!$B$49/R79</f>
        <v>0</v>
      </c>
      <c r="S61" s="215">
        <v>0</v>
      </c>
      <c r="T61" s="49">
        <f>S61*'Molecular Weights'!$B$49/T79</f>
        <v>0</v>
      </c>
      <c r="U61" s="215">
        <v>0</v>
      </c>
      <c r="V61" s="49">
        <f>U61*'Molecular Weights'!$B$49/V79</f>
        <v>0</v>
      </c>
      <c r="W61" s="215">
        <v>0</v>
      </c>
      <c r="X61" s="49">
        <f>W61*'Molecular Weights'!$B$49/X79</f>
        <v>0</v>
      </c>
      <c r="Y61" s="215">
        <v>0</v>
      </c>
      <c r="Z61" s="49">
        <f>Y61*'Molecular Weights'!$B$49/Z79</f>
        <v>0</v>
      </c>
      <c r="AA61" s="312">
        <f>AA$81*'Molecular Weights'!$AI49</f>
        <v>0</v>
      </c>
      <c r="AB61" s="221">
        <f>AA61*'Molecular Weights'!$B$49/AB79</f>
        <v>0</v>
      </c>
      <c r="AC61" s="312">
        <f>AC$81*'Molecular Weights'!$AI49</f>
        <v>0</v>
      </c>
      <c r="AD61" s="49">
        <f>AC61*'Molecular Weights'!$B$49/AD79</f>
        <v>0</v>
      </c>
      <c r="AE61" s="312">
        <f>AE$81*'Molecular Weights'!$AI49</f>
        <v>0</v>
      </c>
      <c r="AF61" s="49">
        <f>AE61*'Molecular Weights'!$B$49/AF79</f>
        <v>0</v>
      </c>
      <c r="AG61" s="312">
        <f>AG$81*'Molecular Weights'!$E49</f>
        <v>0</v>
      </c>
      <c r="AH61" s="49">
        <f>AG61*'Molecular Weights'!$B$49/AH79</f>
        <v>0</v>
      </c>
      <c r="AI61" s="312">
        <f>AI$81*'Molecular Weights'!$E49</f>
        <v>0</v>
      </c>
      <c r="AJ61" s="49">
        <f>AI61*'Molecular Weights'!$B$49/AJ79</f>
        <v>0</v>
      </c>
      <c r="AK61" s="312">
        <f>AK$81*'Molecular Weights'!$E49</f>
        <v>0</v>
      </c>
      <c r="AL61" s="49">
        <f>AK61*'Molecular Weights'!$B$49/AL79</f>
        <v>0</v>
      </c>
      <c r="AM61" s="24">
        <f t="shared" si="3"/>
        <v>0</v>
      </c>
      <c r="AN61" s="24">
        <f>AM61*'Molecular Weights'!$B$49/AN79</f>
        <v>0</v>
      </c>
      <c r="AO61" s="300" t="e">
        <f>#REF!*'Molecular Weights'!$B$49/AO79</f>
        <v>#REF!</v>
      </c>
    </row>
    <row r="62" spans="2:41" ht="15" hidden="1" thickBot="1" x14ac:dyDescent="0.4">
      <c r="B62" s="315" t="s">
        <v>310</v>
      </c>
      <c r="C62" s="316">
        <v>0</v>
      </c>
      <c r="D62" s="221">
        <f>C62*'Molecular Weights'!$B$50/D79</f>
        <v>0</v>
      </c>
      <c r="E62" s="113">
        <v>0</v>
      </c>
      <c r="F62" s="314">
        <f>E62*'Molecular Weights'!$B$50/F79</f>
        <v>0</v>
      </c>
      <c r="G62" s="113">
        <v>0</v>
      </c>
      <c r="H62" s="314">
        <f>G62*'Molecular Weights'!$B$50/H79</f>
        <v>0</v>
      </c>
      <c r="I62" s="215">
        <v>0</v>
      </c>
      <c r="J62" s="221">
        <f>I62*'Molecular Weights'!$B$50/J79</f>
        <v>0</v>
      </c>
      <c r="K62" s="114">
        <v>0</v>
      </c>
      <c r="L62" s="221">
        <f>K62*'Molecular Weights'!$B$50/L79</f>
        <v>0</v>
      </c>
      <c r="M62" s="118">
        <v>0</v>
      </c>
      <c r="N62" s="49">
        <f>M62*'Molecular Weights'!$B$50/N79</f>
        <v>0</v>
      </c>
      <c r="O62" s="216">
        <v>0</v>
      </c>
      <c r="P62" s="221">
        <f>O62*'Molecular Weights'!$B$50/P79</f>
        <v>0</v>
      </c>
      <c r="Q62" s="215">
        <v>0</v>
      </c>
      <c r="R62" s="49">
        <f>Q62*'Molecular Weights'!$B$50/R79</f>
        <v>0</v>
      </c>
      <c r="S62" s="215">
        <v>0</v>
      </c>
      <c r="T62" s="49">
        <f>S62*'Molecular Weights'!$B$50/T79</f>
        <v>0</v>
      </c>
      <c r="U62" s="215">
        <v>0</v>
      </c>
      <c r="V62" s="49">
        <f>U62*'Molecular Weights'!$B$50/V79</f>
        <v>0</v>
      </c>
      <c r="W62" s="215">
        <v>0</v>
      </c>
      <c r="X62" s="49">
        <f>W62*'Molecular Weights'!$B$50/X79</f>
        <v>0</v>
      </c>
      <c r="Y62" s="215">
        <v>0</v>
      </c>
      <c r="Z62" s="49">
        <f>Y62*'Molecular Weights'!$B$50/Z79</f>
        <v>0</v>
      </c>
      <c r="AA62" s="312">
        <f>AA$81*'Molecular Weights'!$AI50</f>
        <v>0</v>
      </c>
      <c r="AB62" s="221">
        <f>AA62*'Molecular Weights'!$B$50/AB79</f>
        <v>0</v>
      </c>
      <c r="AC62" s="312">
        <f>AC$81*'Molecular Weights'!$AI50</f>
        <v>0</v>
      </c>
      <c r="AD62" s="49">
        <f>AC62*'Molecular Weights'!$B$50/AD79</f>
        <v>0</v>
      </c>
      <c r="AE62" s="312">
        <f>AE$81*'Molecular Weights'!$AI50</f>
        <v>0</v>
      </c>
      <c r="AF62" s="49">
        <f>AE62*'Molecular Weights'!$B$50/AF79</f>
        <v>0</v>
      </c>
      <c r="AG62" s="312">
        <f>AG$81*'Molecular Weights'!$E50</f>
        <v>0</v>
      </c>
      <c r="AH62" s="49">
        <f>AG62*'Molecular Weights'!$B$50/AH79</f>
        <v>0</v>
      </c>
      <c r="AI62" s="312">
        <f>AI$81*'Molecular Weights'!$E50</f>
        <v>0</v>
      </c>
      <c r="AJ62" s="49">
        <f>AI62*'Molecular Weights'!$B$50/AJ79</f>
        <v>0</v>
      </c>
      <c r="AK62" s="312">
        <f>AK$81*'Molecular Weights'!$E50</f>
        <v>0</v>
      </c>
      <c r="AL62" s="49">
        <f>AK62*'Molecular Weights'!$B$50/AL79</f>
        <v>0</v>
      </c>
      <c r="AM62" s="24">
        <f t="shared" si="3"/>
        <v>0</v>
      </c>
      <c r="AN62" s="24">
        <f>AM62*'Molecular Weights'!$B$50/AN79</f>
        <v>0</v>
      </c>
      <c r="AO62" s="300" t="e">
        <f>#REF!*'Molecular Weights'!$B$50/AO79</f>
        <v>#REF!</v>
      </c>
    </row>
    <row r="63" spans="2:41" ht="15" hidden="1" thickBot="1" x14ac:dyDescent="0.4">
      <c r="B63" s="315" t="s">
        <v>309</v>
      </c>
      <c r="C63" s="316">
        <v>0</v>
      </c>
      <c r="D63" s="221">
        <f>C63*'Molecular Weights'!$B$51/D79</f>
        <v>0</v>
      </c>
      <c r="E63" s="113">
        <v>0</v>
      </c>
      <c r="F63" s="314">
        <f>E63*'Molecular Weights'!$B$51/F79</f>
        <v>0</v>
      </c>
      <c r="G63" s="113">
        <v>0</v>
      </c>
      <c r="H63" s="314">
        <f>G63*'Molecular Weights'!$B$51/H79</f>
        <v>0</v>
      </c>
      <c r="I63" s="215">
        <v>0</v>
      </c>
      <c r="J63" s="221">
        <f>I63*'Molecular Weights'!$B$51/J79</f>
        <v>0</v>
      </c>
      <c r="K63" s="114">
        <v>0</v>
      </c>
      <c r="L63" s="221">
        <f>K63*'Molecular Weights'!$B$51/L79</f>
        <v>0</v>
      </c>
      <c r="M63" s="118">
        <v>0</v>
      </c>
      <c r="N63" s="49">
        <f>M63*'Molecular Weights'!$B$51/N79</f>
        <v>0</v>
      </c>
      <c r="O63" s="216">
        <v>0</v>
      </c>
      <c r="P63" s="221">
        <f>O63*'Molecular Weights'!$B$51/P79</f>
        <v>0</v>
      </c>
      <c r="Q63" s="215">
        <v>0</v>
      </c>
      <c r="R63" s="49">
        <f>Q63*'Molecular Weights'!$B$51/R79</f>
        <v>0</v>
      </c>
      <c r="S63" s="215">
        <v>0</v>
      </c>
      <c r="T63" s="49">
        <f>S63*'Molecular Weights'!$B$51/T79</f>
        <v>0</v>
      </c>
      <c r="U63" s="215">
        <v>0</v>
      </c>
      <c r="V63" s="49">
        <f>U63*'Molecular Weights'!$B$51/V79</f>
        <v>0</v>
      </c>
      <c r="W63" s="215">
        <v>0</v>
      </c>
      <c r="X63" s="49">
        <f>W63*'Molecular Weights'!$B$51/X79</f>
        <v>0</v>
      </c>
      <c r="Y63" s="215">
        <v>0</v>
      </c>
      <c r="Z63" s="49">
        <f>Y63*'Molecular Weights'!$B$51/Z79</f>
        <v>0</v>
      </c>
      <c r="AA63" s="312">
        <f>AA$81*'Molecular Weights'!$AI51</f>
        <v>0</v>
      </c>
      <c r="AB63" s="221">
        <f>AA63*'Molecular Weights'!$B$51/AB79</f>
        <v>0</v>
      </c>
      <c r="AC63" s="312">
        <f>AC$81*'Molecular Weights'!$AI51</f>
        <v>0</v>
      </c>
      <c r="AD63" s="49">
        <f>AC63*'Molecular Weights'!$B$51/AD79</f>
        <v>0</v>
      </c>
      <c r="AE63" s="312">
        <f>AE$81*'Molecular Weights'!$AI51</f>
        <v>0</v>
      </c>
      <c r="AF63" s="49">
        <f>AE63*'Molecular Weights'!$B$51/AF79</f>
        <v>0</v>
      </c>
      <c r="AG63" s="312">
        <f>AG$81*'Molecular Weights'!$E51</f>
        <v>0</v>
      </c>
      <c r="AH63" s="49">
        <f>AG63*'Molecular Weights'!$B$51/AH79</f>
        <v>0</v>
      </c>
      <c r="AI63" s="312">
        <f>AI$81*'Molecular Weights'!$E51</f>
        <v>0</v>
      </c>
      <c r="AJ63" s="49">
        <f>AI63*'Molecular Weights'!$B$51/AJ79</f>
        <v>0</v>
      </c>
      <c r="AK63" s="312">
        <f>AK$81*'Molecular Weights'!$E51</f>
        <v>0</v>
      </c>
      <c r="AL63" s="49">
        <f>AK63*'Molecular Weights'!$B$51/AL79</f>
        <v>0</v>
      </c>
      <c r="AM63" s="24">
        <f t="shared" si="3"/>
        <v>0</v>
      </c>
      <c r="AN63" s="24">
        <f>AM63*'Molecular Weights'!$B$51/AN79</f>
        <v>0</v>
      </c>
      <c r="AO63" s="300" t="e">
        <f>#REF!*'Molecular Weights'!$B$51/AO79</f>
        <v>#REF!</v>
      </c>
    </row>
    <row r="64" spans="2:41" ht="15" hidden="1" thickBot="1" x14ac:dyDescent="0.4">
      <c r="B64" s="315" t="s">
        <v>308</v>
      </c>
      <c r="C64" s="316">
        <v>0</v>
      </c>
      <c r="D64" s="221">
        <f>C64*'Molecular Weights'!$B$52/D79</f>
        <v>0</v>
      </c>
      <c r="E64" s="113">
        <v>0</v>
      </c>
      <c r="F64" s="314">
        <f>E64*'Molecular Weights'!$B$52/F79</f>
        <v>0</v>
      </c>
      <c r="G64" s="113">
        <v>0</v>
      </c>
      <c r="H64" s="314">
        <f>G64*'Molecular Weights'!$B$52/H79</f>
        <v>0</v>
      </c>
      <c r="I64" s="215">
        <v>0</v>
      </c>
      <c r="J64" s="221">
        <f>I64*'Molecular Weights'!$B$52/J79</f>
        <v>0</v>
      </c>
      <c r="K64" s="114">
        <v>0</v>
      </c>
      <c r="L64" s="221">
        <f>K64*'Molecular Weights'!$B$52/L79</f>
        <v>0</v>
      </c>
      <c r="M64" s="118">
        <v>0</v>
      </c>
      <c r="N64" s="49">
        <f>M64*'Molecular Weights'!$B$52/N79</f>
        <v>0</v>
      </c>
      <c r="O64" s="216">
        <v>0</v>
      </c>
      <c r="P64" s="221">
        <f>O64*'Molecular Weights'!$B$52/P79</f>
        <v>0</v>
      </c>
      <c r="Q64" s="215">
        <v>0</v>
      </c>
      <c r="R64" s="49">
        <f>Q64*'Molecular Weights'!$B$52/R79</f>
        <v>0</v>
      </c>
      <c r="S64" s="215">
        <v>0</v>
      </c>
      <c r="T64" s="49">
        <f>S64*'Molecular Weights'!$B$52/T79</f>
        <v>0</v>
      </c>
      <c r="U64" s="215">
        <v>0</v>
      </c>
      <c r="V64" s="49">
        <f>U64*'Molecular Weights'!$B$52/V79</f>
        <v>0</v>
      </c>
      <c r="W64" s="215">
        <v>0</v>
      </c>
      <c r="X64" s="49">
        <f>W64*'Molecular Weights'!$B$52/X79</f>
        <v>0</v>
      </c>
      <c r="Y64" s="215">
        <v>0</v>
      </c>
      <c r="Z64" s="49">
        <f>Y64*'Molecular Weights'!$B$52/Z79</f>
        <v>0</v>
      </c>
      <c r="AA64" s="312">
        <f>AA$81*'Molecular Weights'!$AI52</f>
        <v>0</v>
      </c>
      <c r="AB64" s="221">
        <f>AA64*'Molecular Weights'!$B$52/AB79</f>
        <v>0</v>
      </c>
      <c r="AC64" s="312">
        <f>AC$81*'Molecular Weights'!$AI52</f>
        <v>0</v>
      </c>
      <c r="AD64" s="49">
        <f>AC64*'Molecular Weights'!$B$52/AD79</f>
        <v>0</v>
      </c>
      <c r="AE64" s="312">
        <f>AE$81*'Molecular Weights'!$AI52</f>
        <v>0</v>
      </c>
      <c r="AF64" s="49">
        <f>AE64*'Molecular Weights'!$B$52/AF79</f>
        <v>0</v>
      </c>
      <c r="AG64" s="312">
        <f>AG$81*'Molecular Weights'!$E52</f>
        <v>0</v>
      </c>
      <c r="AH64" s="49">
        <f>AG64*'Molecular Weights'!$B$52/AH79</f>
        <v>0</v>
      </c>
      <c r="AI64" s="312">
        <f>AI$81*'Molecular Weights'!$E52</f>
        <v>0</v>
      </c>
      <c r="AJ64" s="49">
        <f>AI64*'Molecular Weights'!$B$52/AJ79</f>
        <v>0</v>
      </c>
      <c r="AK64" s="312">
        <f>AK$81*'Molecular Weights'!$E52</f>
        <v>0</v>
      </c>
      <c r="AL64" s="49">
        <f>AK64*'Molecular Weights'!$B$52/AL79</f>
        <v>0</v>
      </c>
      <c r="AM64" s="24">
        <f t="shared" si="3"/>
        <v>0</v>
      </c>
      <c r="AN64" s="24">
        <f>AM64*'Molecular Weights'!$B$52/AN79</f>
        <v>0</v>
      </c>
      <c r="AO64" s="300" t="e">
        <f>#REF!*'Molecular Weights'!$B$52/AO79</f>
        <v>#REF!</v>
      </c>
    </row>
    <row r="65" spans="1:41" ht="15" hidden="1" thickBot="1" x14ac:dyDescent="0.4">
      <c r="B65" s="315" t="s">
        <v>307</v>
      </c>
      <c r="C65" s="316">
        <v>0</v>
      </c>
      <c r="D65" s="221">
        <f>C65*'Molecular Weights'!$B$53/D79</f>
        <v>0</v>
      </c>
      <c r="E65" s="113">
        <v>0</v>
      </c>
      <c r="F65" s="314">
        <f>E65*'Molecular Weights'!$B$53/F79</f>
        <v>0</v>
      </c>
      <c r="G65" s="113">
        <v>0</v>
      </c>
      <c r="H65" s="314">
        <f>G65*'Molecular Weights'!$B$53/H79</f>
        <v>0</v>
      </c>
      <c r="I65" s="215">
        <v>0</v>
      </c>
      <c r="J65" s="221">
        <f>I65*'Molecular Weights'!$B$53/J79</f>
        <v>0</v>
      </c>
      <c r="K65" s="114">
        <v>0</v>
      </c>
      <c r="L65" s="221">
        <f>K65*'Molecular Weights'!$B$53/L79</f>
        <v>0</v>
      </c>
      <c r="M65" s="118">
        <v>0</v>
      </c>
      <c r="N65" s="49">
        <f>M65*'Molecular Weights'!$B$53/N79</f>
        <v>0</v>
      </c>
      <c r="O65" s="216">
        <v>0</v>
      </c>
      <c r="P65" s="221">
        <f>O65*'Molecular Weights'!$B$53/P79</f>
        <v>0</v>
      </c>
      <c r="Q65" s="215">
        <v>0</v>
      </c>
      <c r="R65" s="49">
        <f>Q65*'Molecular Weights'!$B$53/R79</f>
        <v>0</v>
      </c>
      <c r="S65" s="215">
        <v>0</v>
      </c>
      <c r="T65" s="49">
        <f>S65*'Molecular Weights'!$B$53/T79</f>
        <v>0</v>
      </c>
      <c r="U65" s="215">
        <v>0</v>
      </c>
      <c r="V65" s="49">
        <f>U65*'Molecular Weights'!$B$53/V79</f>
        <v>0</v>
      </c>
      <c r="W65" s="215">
        <v>0</v>
      </c>
      <c r="X65" s="49">
        <f>W65*'Molecular Weights'!$B$53/X79</f>
        <v>0</v>
      </c>
      <c r="Y65" s="215">
        <v>0</v>
      </c>
      <c r="Z65" s="49">
        <f>Y65*'Molecular Weights'!$B$53/Z79</f>
        <v>0</v>
      </c>
      <c r="AA65" s="312">
        <f>AA$81*'Molecular Weights'!$AI53</f>
        <v>0</v>
      </c>
      <c r="AB65" s="221">
        <f>AA65*'Molecular Weights'!$B$53/AB79</f>
        <v>0</v>
      </c>
      <c r="AC65" s="312">
        <f>AC$81*'Molecular Weights'!$AI53</f>
        <v>0</v>
      </c>
      <c r="AD65" s="49">
        <f>AC65*'Molecular Weights'!$B$53/AD79</f>
        <v>0</v>
      </c>
      <c r="AE65" s="312">
        <f>AE$81*'Molecular Weights'!$AI53</f>
        <v>0</v>
      </c>
      <c r="AF65" s="49">
        <f>AE65*'Molecular Weights'!$B$53/AF79</f>
        <v>0</v>
      </c>
      <c r="AG65" s="312">
        <f>AG$81*'Molecular Weights'!$E53</f>
        <v>0</v>
      </c>
      <c r="AH65" s="49">
        <f>AG65*'Molecular Weights'!$B$53/AH79</f>
        <v>0</v>
      </c>
      <c r="AI65" s="312">
        <f>AI$81*'Molecular Weights'!$E53</f>
        <v>0</v>
      </c>
      <c r="AJ65" s="49">
        <f>AI65*'Molecular Weights'!$B$53/AJ79</f>
        <v>0</v>
      </c>
      <c r="AK65" s="312">
        <f>AK$81*'Molecular Weights'!$E53</f>
        <v>0</v>
      </c>
      <c r="AL65" s="49">
        <f>AK65*'Molecular Weights'!$B$53/AL79</f>
        <v>0</v>
      </c>
      <c r="AM65" s="24">
        <f t="shared" si="3"/>
        <v>0</v>
      </c>
      <c r="AN65" s="24">
        <f>AM65*'Molecular Weights'!$B$53/AN79</f>
        <v>0</v>
      </c>
      <c r="AO65" s="300" t="e">
        <f>#REF!*'Molecular Weights'!$B$53/AO79</f>
        <v>#REF!</v>
      </c>
    </row>
    <row r="66" spans="1:41" ht="15" hidden="1" thickBot="1" x14ac:dyDescent="0.4">
      <c r="B66" s="315" t="s">
        <v>306</v>
      </c>
      <c r="C66" s="316">
        <v>0</v>
      </c>
      <c r="D66" s="221">
        <f>C66*'Molecular Weights'!$B$54/D79</f>
        <v>0</v>
      </c>
      <c r="E66" s="113">
        <v>0</v>
      </c>
      <c r="F66" s="314">
        <f>E66*'Molecular Weights'!$B$54/F79</f>
        <v>0</v>
      </c>
      <c r="G66" s="113">
        <v>0</v>
      </c>
      <c r="H66" s="314">
        <f>G66*'Molecular Weights'!$B$54/H79</f>
        <v>0</v>
      </c>
      <c r="I66" s="215">
        <v>0</v>
      </c>
      <c r="J66" s="221">
        <f>I66*'Molecular Weights'!$B$54/J79</f>
        <v>0</v>
      </c>
      <c r="K66" s="114">
        <v>0</v>
      </c>
      <c r="L66" s="221">
        <f>K66*'Molecular Weights'!$B$54/L79</f>
        <v>0</v>
      </c>
      <c r="M66" s="118">
        <v>0</v>
      </c>
      <c r="N66" s="49">
        <f>M66*'Molecular Weights'!$B$54/N79</f>
        <v>0</v>
      </c>
      <c r="O66" s="216">
        <v>0</v>
      </c>
      <c r="P66" s="221">
        <f>O66*'Molecular Weights'!$B$54/P79</f>
        <v>0</v>
      </c>
      <c r="Q66" s="215">
        <v>0</v>
      </c>
      <c r="R66" s="49">
        <f>Q66*'Molecular Weights'!$B$54/R79</f>
        <v>0</v>
      </c>
      <c r="S66" s="215">
        <v>0</v>
      </c>
      <c r="T66" s="49">
        <f>S66*'Molecular Weights'!$B$54/T79</f>
        <v>0</v>
      </c>
      <c r="U66" s="215">
        <v>0</v>
      </c>
      <c r="V66" s="49">
        <f>U66*'Molecular Weights'!$B$54/V79</f>
        <v>0</v>
      </c>
      <c r="W66" s="215">
        <v>0</v>
      </c>
      <c r="X66" s="49">
        <f>W66*'Molecular Weights'!$B$54/X79</f>
        <v>0</v>
      </c>
      <c r="Y66" s="215">
        <v>0</v>
      </c>
      <c r="Z66" s="49">
        <f>Y66*'Molecular Weights'!$B$54/Z79</f>
        <v>0</v>
      </c>
      <c r="AA66" s="312">
        <f>AA$81*'Molecular Weights'!$AI54</f>
        <v>0</v>
      </c>
      <c r="AB66" s="221">
        <f>AA66*'Molecular Weights'!$B$54/AB79</f>
        <v>0</v>
      </c>
      <c r="AC66" s="312">
        <f>AC$81*'Molecular Weights'!$AI54</f>
        <v>0</v>
      </c>
      <c r="AD66" s="49">
        <f>AC66*'Molecular Weights'!$B$54/AD79</f>
        <v>0</v>
      </c>
      <c r="AE66" s="312">
        <f>AE$81*'Molecular Weights'!$AI54</f>
        <v>0</v>
      </c>
      <c r="AF66" s="49">
        <f>AE66*'Molecular Weights'!$B$54/AF79</f>
        <v>0</v>
      </c>
      <c r="AG66" s="312">
        <f>AG$81*'Molecular Weights'!$E54</f>
        <v>0</v>
      </c>
      <c r="AH66" s="49">
        <f>AG66*'Molecular Weights'!$B$54/AH79</f>
        <v>0</v>
      </c>
      <c r="AI66" s="312">
        <f>AI$81*'Molecular Weights'!$E54</f>
        <v>0</v>
      </c>
      <c r="AJ66" s="49">
        <f>AI66*'Molecular Weights'!$B$54/AJ79</f>
        <v>0</v>
      </c>
      <c r="AK66" s="312">
        <f>AK$81*'Molecular Weights'!$E54</f>
        <v>0</v>
      </c>
      <c r="AL66" s="49">
        <f>AK66*'Molecular Weights'!$B$54/AL79</f>
        <v>0</v>
      </c>
      <c r="AM66" s="24">
        <f t="shared" si="3"/>
        <v>0</v>
      </c>
      <c r="AN66" s="24">
        <f>AM66*'Molecular Weights'!$B$54/AN79</f>
        <v>0</v>
      </c>
      <c r="AO66" s="300" t="e">
        <f>#REF!*'Molecular Weights'!$B$54/AO79</f>
        <v>#REF!</v>
      </c>
    </row>
    <row r="67" spans="1:41" ht="15" hidden="1" thickBot="1" x14ac:dyDescent="0.4">
      <c r="B67" s="315" t="s">
        <v>324</v>
      </c>
      <c r="C67" s="316">
        <v>0</v>
      </c>
      <c r="D67" s="49">
        <f>C67*'Molecular Weights'!$B$33/D79</f>
        <v>0</v>
      </c>
      <c r="E67" s="113">
        <v>0</v>
      </c>
      <c r="F67" s="314">
        <f>E67*'Molecular Weights'!$B$33/F79</f>
        <v>0</v>
      </c>
      <c r="G67" s="113">
        <v>0</v>
      </c>
      <c r="H67" s="314">
        <f>G67*'Molecular Weights'!$B$33/H79</f>
        <v>0</v>
      </c>
      <c r="I67" s="215">
        <v>0</v>
      </c>
      <c r="J67" s="221">
        <f>I67*'Molecular Weights'!$B$33/J79</f>
        <v>0</v>
      </c>
      <c r="K67" s="114">
        <v>0</v>
      </c>
      <c r="L67" s="49">
        <f>K67*'Molecular Weights'!$B$33/L79</f>
        <v>0</v>
      </c>
      <c r="M67" s="118">
        <v>0</v>
      </c>
      <c r="N67" s="49">
        <f>M67*'Molecular Weights'!$B$33/N79</f>
        <v>0</v>
      </c>
      <c r="O67" s="216">
        <v>0</v>
      </c>
      <c r="P67" s="49">
        <f>O67*'Molecular Weights'!$B$33/P79</f>
        <v>0</v>
      </c>
      <c r="Q67" s="113">
        <v>0</v>
      </c>
      <c r="R67" s="49">
        <f>Q67*'Molecular Weights'!$B$33/R79</f>
        <v>0</v>
      </c>
      <c r="S67" s="113">
        <v>0</v>
      </c>
      <c r="T67" s="49">
        <f>S67*'Molecular Weights'!$B$33/T79</f>
        <v>0</v>
      </c>
      <c r="U67" s="113">
        <v>0</v>
      </c>
      <c r="V67" s="49">
        <f>U67*'Molecular Weights'!$B$33/V79</f>
        <v>0</v>
      </c>
      <c r="W67" s="113">
        <v>0</v>
      </c>
      <c r="X67" s="49">
        <f>W67*'Molecular Weights'!$B$33/X79</f>
        <v>0</v>
      </c>
      <c r="Y67" s="113">
        <v>0</v>
      </c>
      <c r="Z67" s="49">
        <f>Y67*'Molecular Weights'!$B$33/Z79</f>
        <v>0</v>
      </c>
      <c r="AA67" s="312">
        <f>AA$81*'Molecular Weights'!$AI33</f>
        <v>0</v>
      </c>
      <c r="AB67" s="221">
        <f>AA67*'Molecular Weights'!$B$33/AB79</f>
        <v>0</v>
      </c>
      <c r="AC67" s="312">
        <f>AC$81*'Molecular Weights'!$AI33</f>
        <v>0</v>
      </c>
      <c r="AD67" s="49">
        <f>AC67*'Molecular Weights'!$B$33/AD79</f>
        <v>0</v>
      </c>
      <c r="AE67" s="312">
        <f>AE$81*'Molecular Weights'!$AI33</f>
        <v>0</v>
      </c>
      <c r="AF67" s="49">
        <f>AE67*'Molecular Weights'!$B$33/AF79</f>
        <v>0</v>
      </c>
      <c r="AG67" s="312">
        <f>AG$81*'Molecular Weights'!$E33</f>
        <v>0</v>
      </c>
      <c r="AH67" s="49">
        <f>AG67*'Molecular Weights'!$B$33/AH79</f>
        <v>0</v>
      </c>
      <c r="AI67" s="312">
        <f>AI$81*'Molecular Weights'!$E33</f>
        <v>0</v>
      </c>
      <c r="AJ67" s="49">
        <f>AI67*'Molecular Weights'!$B$33/AJ79</f>
        <v>0</v>
      </c>
      <c r="AK67" s="312">
        <f>AK$81*'Molecular Weights'!$E33</f>
        <v>0</v>
      </c>
      <c r="AL67" s="49">
        <f>AK67*'Molecular Weights'!$B$33/AL79</f>
        <v>0</v>
      </c>
      <c r="AM67" s="24">
        <f t="shared" si="3"/>
        <v>0</v>
      </c>
      <c r="AN67" s="24">
        <f>AM67*'Molecular Weights'!$B$33/AN79</f>
        <v>0</v>
      </c>
      <c r="AO67" s="300" t="e">
        <f>#REF!*'Molecular Weights'!$B$33/AO79</f>
        <v>#REF!</v>
      </c>
    </row>
    <row r="68" spans="1:41" ht="15" hidden="1" thickBot="1" x14ac:dyDescent="0.4">
      <c r="B68" s="315" t="s">
        <v>323</v>
      </c>
      <c r="C68" s="316">
        <v>0</v>
      </c>
      <c r="D68" s="49">
        <f>C68*'Molecular Weights'!$B$34/D79</f>
        <v>0</v>
      </c>
      <c r="E68" s="113">
        <v>0</v>
      </c>
      <c r="F68" s="314">
        <f>E68*'Molecular Weights'!$B$34/F79</f>
        <v>0</v>
      </c>
      <c r="G68" s="113">
        <v>0</v>
      </c>
      <c r="H68" s="314">
        <f>G68*'Molecular Weights'!$B$34/H79</f>
        <v>0</v>
      </c>
      <c r="I68" s="215">
        <v>0</v>
      </c>
      <c r="J68" s="221">
        <f>I68*'Molecular Weights'!$B$34/J79</f>
        <v>0</v>
      </c>
      <c r="K68" s="114">
        <v>0</v>
      </c>
      <c r="L68" s="49">
        <f>K68*'Molecular Weights'!$B$34/L79</f>
        <v>0</v>
      </c>
      <c r="M68" s="118">
        <v>0</v>
      </c>
      <c r="N68" s="49">
        <f>M68*'Molecular Weights'!$B$34/N79</f>
        <v>0</v>
      </c>
      <c r="O68" s="216">
        <v>0</v>
      </c>
      <c r="P68" s="49">
        <f>O68*'Molecular Weights'!$B$34/P79</f>
        <v>0</v>
      </c>
      <c r="Q68" s="113">
        <v>0</v>
      </c>
      <c r="R68" s="49">
        <f>Q68*'Molecular Weights'!$B$34/R79</f>
        <v>0</v>
      </c>
      <c r="S68" s="113">
        <v>0</v>
      </c>
      <c r="T68" s="49">
        <f>S68*'Molecular Weights'!$B$34/T79</f>
        <v>0</v>
      </c>
      <c r="U68" s="113">
        <v>0</v>
      </c>
      <c r="V68" s="49">
        <f>U68*'Molecular Weights'!$B$34/V79</f>
        <v>0</v>
      </c>
      <c r="W68" s="113">
        <v>0</v>
      </c>
      <c r="X68" s="49">
        <f>W68*'Molecular Weights'!$B$34/X79</f>
        <v>0</v>
      </c>
      <c r="Y68" s="113">
        <v>0</v>
      </c>
      <c r="Z68" s="49">
        <f>Y68*'Molecular Weights'!$B$34/Z79</f>
        <v>0</v>
      </c>
      <c r="AA68" s="312">
        <f>AA$81*'Molecular Weights'!$AI34</f>
        <v>0</v>
      </c>
      <c r="AB68" s="221">
        <f>AA68*'Molecular Weights'!$B$34/AB79</f>
        <v>0</v>
      </c>
      <c r="AC68" s="312">
        <f>AC$81*'Molecular Weights'!$AI34</f>
        <v>0</v>
      </c>
      <c r="AD68" s="49">
        <f>AC68*'Molecular Weights'!$B$34/AD79</f>
        <v>0</v>
      </c>
      <c r="AE68" s="312">
        <f>AE$81*'Molecular Weights'!$AI34</f>
        <v>0</v>
      </c>
      <c r="AF68" s="49">
        <f>AE68*'Molecular Weights'!$B$34/AF79</f>
        <v>0</v>
      </c>
      <c r="AG68" s="312">
        <f>AG$81*'Molecular Weights'!$E34</f>
        <v>0</v>
      </c>
      <c r="AH68" s="49">
        <f>AG68*'Molecular Weights'!$B$34/AH79</f>
        <v>0</v>
      </c>
      <c r="AI68" s="312">
        <f>AI$81*'Molecular Weights'!$E34</f>
        <v>0</v>
      </c>
      <c r="AJ68" s="49">
        <f>AI68*'Molecular Weights'!$B$34/AJ79</f>
        <v>0</v>
      </c>
      <c r="AK68" s="312">
        <f>AK$81*'Molecular Weights'!$E34</f>
        <v>0</v>
      </c>
      <c r="AL68" s="49">
        <f>AK68*'Molecular Weights'!$B$34/AL79</f>
        <v>0</v>
      </c>
      <c r="AM68" s="24">
        <f t="shared" si="3"/>
        <v>0</v>
      </c>
      <c r="AN68" s="24">
        <f>AM68*'Molecular Weights'!$B$34/AN79</f>
        <v>0</v>
      </c>
      <c r="AO68" s="300" t="e">
        <f>#REF!*'Molecular Weights'!$B$34/AO79</f>
        <v>#REF!</v>
      </c>
    </row>
    <row r="69" spans="1:41" ht="15" hidden="1" thickBot="1" x14ac:dyDescent="0.4">
      <c r="B69" s="315" t="s">
        <v>322</v>
      </c>
      <c r="C69" s="316">
        <v>0</v>
      </c>
      <c r="D69" s="49">
        <f>C69*'Molecular Weights'!$B$35/D79</f>
        <v>0</v>
      </c>
      <c r="E69" s="113">
        <v>0</v>
      </c>
      <c r="F69" s="314">
        <f>E69*'Molecular Weights'!$B$35/F79</f>
        <v>0</v>
      </c>
      <c r="G69" s="113">
        <v>0</v>
      </c>
      <c r="H69" s="314">
        <f>G69*'Molecular Weights'!$B$35/H79</f>
        <v>0</v>
      </c>
      <c r="I69" s="215">
        <v>0</v>
      </c>
      <c r="J69" s="221">
        <f>I69*'Molecular Weights'!$B$35/J79</f>
        <v>0</v>
      </c>
      <c r="K69" s="114">
        <v>0</v>
      </c>
      <c r="L69" s="49">
        <f>K69*'Molecular Weights'!$B$35/L79</f>
        <v>0</v>
      </c>
      <c r="M69" s="118">
        <v>0</v>
      </c>
      <c r="N69" s="49">
        <f>M69*'Molecular Weights'!$B$35/N79</f>
        <v>0</v>
      </c>
      <c r="O69" s="216">
        <v>0</v>
      </c>
      <c r="P69" s="49">
        <f>O69*'Molecular Weights'!$B$35/P79</f>
        <v>0</v>
      </c>
      <c r="Q69" s="113">
        <v>0</v>
      </c>
      <c r="R69" s="49">
        <f>Q69*'Molecular Weights'!$B$35/R79</f>
        <v>0</v>
      </c>
      <c r="S69" s="113">
        <v>0</v>
      </c>
      <c r="T69" s="49">
        <f>S69*'Molecular Weights'!$B$35/T79</f>
        <v>0</v>
      </c>
      <c r="U69" s="113">
        <v>0</v>
      </c>
      <c r="V69" s="49">
        <f>U69*'Molecular Weights'!$B$35/V79</f>
        <v>0</v>
      </c>
      <c r="W69" s="113">
        <v>0</v>
      </c>
      <c r="X69" s="49">
        <f>W69*'Molecular Weights'!$B$35/X79</f>
        <v>0</v>
      </c>
      <c r="Y69" s="113">
        <v>0</v>
      </c>
      <c r="Z69" s="49">
        <f>Y69*'Molecular Weights'!$B$35/Z79</f>
        <v>0</v>
      </c>
      <c r="AA69" s="312">
        <f>AA$81*'Molecular Weights'!$AI35</f>
        <v>0</v>
      </c>
      <c r="AB69" s="221">
        <f>AA69*'Molecular Weights'!$B$35/AB79</f>
        <v>0</v>
      </c>
      <c r="AC69" s="312">
        <f>AC$81*'Molecular Weights'!$AI35</f>
        <v>0</v>
      </c>
      <c r="AD69" s="49">
        <f>AC69*'Molecular Weights'!$B$35/AD79</f>
        <v>0</v>
      </c>
      <c r="AE69" s="312">
        <f>AE$81*'Molecular Weights'!$AI35</f>
        <v>0</v>
      </c>
      <c r="AF69" s="49">
        <f>AE69*'Molecular Weights'!$B$35/AF79</f>
        <v>0</v>
      </c>
      <c r="AG69" s="312">
        <f>AG$81*'Molecular Weights'!$E35</f>
        <v>0</v>
      </c>
      <c r="AH69" s="49">
        <f>AG69*'Molecular Weights'!$B$35/AH79</f>
        <v>0</v>
      </c>
      <c r="AI69" s="312">
        <f>AI$81*'Molecular Weights'!$E35</f>
        <v>0</v>
      </c>
      <c r="AJ69" s="49">
        <f>AI69*'Molecular Weights'!$B$35/AJ79</f>
        <v>0</v>
      </c>
      <c r="AK69" s="312">
        <f>AK$81*'Molecular Weights'!$E35</f>
        <v>0</v>
      </c>
      <c r="AL69" s="49">
        <f>AK69*'Molecular Weights'!$B$35/AL79</f>
        <v>0</v>
      </c>
      <c r="AM69" s="24">
        <f t="shared" si="3"/>
        <v>0</v>
      </c>
      <c r="AN69" s="24">
        <f>AM69*'Molecular Weights'!$B$35/AN79</f>
        <v>0</v>
      </c>
      <c r="AO69" s="300" t="e">
        <f>#REF!*'Molecular Weights'!$B$35/AO79</f>
        <v>#REF!</v>
      </c>
    </row>
    <row r="70" spans="1:41" ht="15" hidden="1" thickBot="1" x14ac:dyDescent="0.4">
      <c r="B70" s="315" t="s">
        <v>321</v>
      </c>
      <c r="C70" s="316">
        <v>0</v>
      </c>
      <c r="D70" s="49">
        <f>C70*'Molecular Weights'!$B$36/D79</f>
        <v>0</v>
      </c>
      <c r="E70" s="113">
        <v>0</v>
      </c>
      <c r="F70" s="314">
        <f>E70*'Molecular Weights'!$B$36/F79</f>
        <v>0</v>
      </c>
      <c r="G70" s="113">
        <v>0</v>
      </c>
      <c r="H70" s="314">
        <f>G70*'Molecular Weights'!$B$36/H79</f>
        <v>0</v>
      </c>
      <c r="I70" s="215">
        <v>0</v>
      </c>
      <c r="J70" s="221">
        <f>I70*'Molecular Weights'!$B$36/J79</f>
        <v>0</v>
      </c>
      <c r="K70" s="114">
        <v>0</v>
      </c>
      <c r="L70" s="49">
        <f>K70*'Molecular Weights'!$B$36/L79</f>
        <v>0</v>
      </c>
      <c r="M70" s="118">
        <v>0</v>
      </c>
      <c r="N70" s="49">
        <f>M70*'Molecular Weights'!$B$36/N79</f>
        <v>0</v>
      </c>
      <c r="O70" s="216">
        <v>0</v>
      </c>
      <c r="P70" s="49">
        <f>O70*'Molecular Weights'!$B$36/P79</f>
        <v>0</v>
      </c>
      <c r="Q70" s="113">
        <v>0</v>
      </c>
      <c r="R70" s="49">
        <f>Q70*'Molecular Weights'!$B$36/R79</f>
        <v>0</v>
      </c>
      <c r="S70" s="113">
        <v>0</v>
      </c>
      <c r="T70" s="49">
        <f>S70*'Molecular Weights'!$B$36/T79</f>
        <v>0</v>
      </c>
      <c r="U70" s="113">
        <v>0</v>
      </c>
      <c r="V70" s="49">
        <f>U70*'Molecular Weights'!$B$36/V79</f>
        <v>0</v>
      </c>
      <c r="W70" s="113">
        <v>0</v>
      </c>
      <c r="X70" s="49">
        <f>W70*'Molecular Weights'!$B$36/X79</f>
        <v>0</v>
      </c>
      <c r="Y70" s="113">
        <v>0</v>
      </c>
      <c r="Z70" s="49">
        <f>Y70*'Molecular Weights'!$B$36/Z79</f>
        <v>0</v>
      </c>
      <c r="AA70" s="312">
        <f>AA$81*'Molecular Weights'!$AI36</f>
        <v>0</v>
      </c>
      <c r="AB70" s="221">
        <f>AA70*'Molecular Weights'!$B$36/AB79</f>
        <v>0</v>
      </c>
      <c r="AC70" s="312">
        <f>AC$81*'Molecular Weights'!$AI36</f>
        <v>0</v>
      </c>
      <c r="AD70" s="49">
        <f>AC70*'Molecular Weights'!$B$36/AD79</f>
        <v>0</v>
      </c>
      <c r="AE70" s="312">
        <f>AE$81*'Molecular Weights'!$AI36</f>
        <v>0</v>
      </c>
      <c r="AF70" s="49">
        <f>AE70*'Molecular Weights'!$B$36/AF79</f>
        <v>0</v>
      </c>
      <c r="AG70" s="312">
        <f>AG$81*'Molecular Weights'!$E36</f>
        <v>0</v>
      </c>
      <c r="AH70" s="49">
        <f>AG70*'Molecular Weights'!$B$36/AH79</f>
        <v>0</v>
      </c>
      <c r="AI70" s="312">
        <f>AI$81*'Molecular Weights'!$E36</f>
        <v>0</v>
      </c>
      <c r="AJ70" s="49">
        <f>AI70*'Molecular Weights'!$B$36/AJ79</f>
        <v>0</v>
      </c>
      <c r="AK70" s="312">
        <f>AK$81*'Molecular Weights'!$E36</f>
        <v>0</v>
      </c>
      <c r="AL70" s="49">
        <f>AK70*'Molecular Weights'!$B$36/AL79</f>
        <v>0</v>
      </c>
      <c r="AM70" s="24">
        <f t="shared" si="3"/>
        <v>0</v>
      </c>
      <c r="AN70" s="24">
        <f>AM70*'Molecular Weights'!$B$36/AN79</f>
        <v>0</v>
      </c>
      <c r="AO70" s="300" t="e">
        <f>#REF!*'Molecular Weights'!$B$36/AO79</f>
        <v>#REF!</v>
      </c>
    </row>
    <row r="71" spans="1:41" ht="15" hidden="1" thickBot="1" x14ac:dyDescent="0.4">
      <c r="B71" s="299" t="s">
        <v>320</v>
      </c>
      <c r="C71" s="308">
        <v>0</v>
      </c>
      <c r="D71" s="62">
        <f>C71*'Molecular Weights'!$B$37/D79</f>
        <v>0</v>
      </c>
      <c r="E71" s="205">
        <v>0</v>
      </c>
      <c r="F71" s="307">
        <f>E71*'Molecular Weights'!$B$37/F79</f>
        <v>0</v>
      </c>
      <c r="G71" s="205">
        <v>0</v>
      </c>
      <c r="H71" s="307">
        <f>G71*'Molecular Weights'!$B$37/H79</f>
        <v>0</v>
      </c>
      <c r="I71" s="205">
        <v>0</v>
      </c>
      <c r="J71" s="64">
        <f>I71*'Molecular Weights'!$B$37/J79</f>
        <v>0</v>
      </c>
      <c r="K71" s="208">
        <v>0</v>
      </c>
      <c r="L71" s="62">
        <f>K71*'Molecular Weights'!$B$37/L79</f>
        <v>0</v>
      </c>
      <c r="M71" s="207">
        <v>0</v>
      </c>
      <c r="N71" s="62">
        <f>M71*'Molecular Weights'!$B$37/N79</f>
        <v>0</v>
      </c>
      <c r="O71" s="206">
        <v>0</v>
      </c>
      <c r="P71" s="62">
        <f>O71*'Molecular Weights'!$B$37/P79</f>
        <v>0</v>
      </c>
      <c r="Q71" s="205">
        <v>0</v>
      </c>
      <c r="R71" s="62">
        <f>Q71*'Molecular Weights'!$B$37/R79</f>
        <v>0</v>
      </c>
      <c r="S71" s="205">
        <v>0</v>
      </c>
      <c r="T71" s="62">
        <f>S71*'Molecular Weights'!$B$37/T79</f>
        <v>0</v>
      </c>
      <c r="U71" s="205">
        <v>0</v>
      </c>
      <c r="V71" s="62">
        <f>U71*'Molecular Weights'!$B$37/V79</f>
        <v>0</v>
      </c>
      <c r="W71" s="205">
        <v>0</v>
      </c>
      <c r="X71" s="62">
        <f>W71*'Molecular Weights'!$B$37/X79</f>
        <v>0</v>
      </c>
      <c r="Y71" s="205">
        <v>0</v>
      </c>
      <c r="Z71" s="62">
        <f>Y71*'Molecular Weights'!$B$37/Z79</f>
        <v>0</v>
      </c>
      <c r="AA71" s="311">
        <f>AA$81*'Molecular Weights'!$AI37</f>
        <v>0</v>
      </c>
      <c r="AB71" s="64">
        <f>AA71*'Molecular Weights'!$B$37/AB79</f>
        <v>0</v>
      </c>
      <c r="AC71" s="311">
        <f>AC$81*'Molecular Weights'!$AI37</f>
        <v>0</v>
      </c>
      <c r="AD71" s="62">
        <f>AC71*'Molecular Weights'!$B$37/AD79</f>
        <v>0</v>
      </c>
      <c r="AE71" s="311">
        <f>AE$81*'Molecular Weights'!$AI37</f>
        <v>0</v>
      </c>
      <c r="AF71" s="62">
        <f>AE71*'Molecular Weights'!$B$37/AF79</f>
        <v>0</v>
      </c>
      <c r="AG71" s="311">
        <f>AG$81*'Molecular Weights'!$E37</f>
        <v>0</v>
      </c>
      <c r="AH71" s="62">
        <f>AG71*'Molecular Weights'!$B$37/AH79</f>
        <v>0</v>
      </c>
      <c r="AI71" s="311">
        <f>AI$81*'Molecular Weights'!$E37</f>
        <v>0</v>
      </c>
      <c r="AJ71" s="62">
        <f>AI71*'Molecular Weights'!$B$37/AJ79</f>
        <v>0</v>
      </c>
      <c r="AK71" s="311">
        <f>AK$81*'Molecular Weights'!$E37</f>
        <v>0</v>
      </c>
      <c r="AL71" s="62">
        <f>AK71*'Molecular Weights'!$B$37/AL79</f>
        <v>0</v>
      </c>
      <c r="AM71" s="24">
        <f t="shared" si="3"/>
        <v>0</v>
      </c>
      <c r="AN71" s="24">
        <f>AM71*'Molecular Weights'!$B$37/AN79</f>
        <v>0</v>
      </c>
      <c r="AO71" s="300" t="e">
        <f>#REF!*'Molecular Weights'!$B$37/AO79</f>
        <v>#REF!</v>
      </c>
    </row>
    <row r="72" spans="1:41" ht="15" hidden="1" thickBot="1" x14ac:dyDescent="0.4">
      <c r="B72" s="315" t="s">
        <v>144</v>
      </c>
      <c r="C72" s="316">
        <v>0</v>
      </c>
      <c r="D72" s="49">
        <f>C72*'Molecular Weights'!$B$30/D79</f>
        <v>0</v>
      </c>
      <c r="E72" s="113">
        <v>0</v>
      </c>
      <c r="F72" s="314">
        <f>E72*'Molecular Weights'!$B$30/F79</f>
        <v>0</v>
      </c>
      <c r="G72" s="113">
        <v>0</v>
      </c>
      <c r="H72" s="314">
        <f>G72*'Molecular Weights'!$B$30/H79</f>
        <v>0</v>
      </c>
      <c r="I72" s="215">
        <v>0</v>
      </c>
      <c r="J72" s="221">
        <f>I72*'Molecular Weights'!$B$30/J79</f>
        <v>0</v>
      </c>
      <c r="K72" s="114">
        <v>0</v>
      </c>
      <c r="L72" s="49">
        <f>K72*'Molecular Weights'!$B$30/L79</f>
        <v>0</v>
      </c>
      <c r="M72" s="118">
        <v>0</v>
      </c>
      <c r="N72" s="49">
        <f>M72*'Molecular Weights'!$B$30/N79</f>
        <v>0</v>
      </c>
      <c r="O72" s="216">
        <v>0</v>
      </c>
      <c r="P72" s="49">
        <f>O72*'Molecular Weights'!$B$30/P79</f>
        <v>0</v>
      </c>
      <c r="Q72" s="113">
        <v>0</v>
      </c>
      <c r="R72" s="49">
        <f>Q72*'Molecular Weights'!$B$30/R79</f>
        <v>0</v>
      </c>
      <c r="S72" s="113">
        <v>0</v>
      </c>
      <c r="T72" s="49">
        <f>S72*'Molecular Weights'!$B$30/T79</f>
        <v>0</v>
      </c>
      <c r="U72" s="113">
        <v>0</v>
      </c>
      <c r="V72" s="49">
        <f>U72*'Molecular Weights'!$B$30/V79</f>
        <v>0</v>
      </c>
      <c r="W72" s="113">
        <v>0</v>
      </c>
      <c r="X72" s="49">
        <f>W72*'Molecular Weights'!$B$30/X79</f>
        <v>0</v>
      </c>
      <c r="Y72" s="113">
        <v>0</v>
      </c>
      <c r="Z72" s="49">
        <f>Y72*'Molecular Weights'!$B$30/Z79</f>
        <v>0</v>
      </c>
      <c r="AA72" s="312">
        <f>AA$81*'Molecular Weights'!$AI30</f>
        <v>0</v>
      </c>
      <c r="AB72" s="221">
        <f>AA72*'Molecular Weights'!$B$30/AB79</f>
        <v>0</v>
      </c>
      <c r="AC72" s="312">
        <f>AC$81*'Molecular Weights'!$AI30</f>
        <v>0</v>
      </c>
      <c r="AD72" s="49">
        <f>AC72*'Molecular Weights'!$B$30/AD79</f>
        <v>0</v>
      </c>
      <c r="AE72" s="312">
        <f>AE$81*'Molecular Weights'!$AI30</f>
        <v>0</v>
      </c>
      <c r="AF72" s="49">
        <f>AE72*'Molecular Weights'!$B$30/AF79</f>
        <v>0</v>
      </c>
      <c r="AG72" s="312">
        <f>AG$81*'Molecular Weights'!$E30</f>
        <v>0</v>
      </c>
      <c r="AH72" s="49">
        <f>AG72*'Molecular Weights'!$B$30/AH79</f>
        <v>0</v>
      </c>
      <c r="AI72" s="312">
        <f>AI$81*'Molecular Weights'!$E30</f>
        <v>0</v>
      </c>
      <c r="AJ72" s="49">
        <f>AI72*'Molecular Weights'!$B$30/AJ79</f>
        <v>0</v>
      </c>
      <c r="AK72" s="312">
        <f>AK$81*'Molecular Weights'!$E30</f>
        <v>0</v>
      </c>
      <c r="AL72" s="49">
        <f>AK72*'Molecular Weights'!$B$30/AL79</f>
        <v>0</v>
      </c>
      <c r="AM72" s="24">
        <f t="shared" si="3"/>
        <v>0</v>
      </c>
      <c r="AN72" s="24">
        <f>AM72*'Molecular Weights'!$B$30/AN79</f>
        <v>0</v>
      </c>
      <c r="AO72" s="300" t="e">
        <f>#REF!*'Molecular Weights'!$B$30/AO79</f>
        <v>#REF!</v>
      </c>
    </row>
    <row r="73" spans="1:41" ht="15" hidden="1" thickBot="1" x14ac:dyDescent="0.4">
      <c r="B73" s="315" t="s">
        <v>145</v>
      </c>
      <c r="C73" s="316">
        <v>0</v>
      </c>
      <c r="D73" s="49">
        <f>C73*'Molecular Weights'!$B$31/D79</f>
        <v>0</v>
      </c>
      <c r="E73" s="113">
        <v>0</v>
      </c>
      <c r="F73" s="314">
        <f>E73*'Molecular Weights'!$B$31/F79</f>
        <v>0</v>
      </c>
      <c r="G73" s="113">
        <v>0</v>
      </c>
      <c r="H73" s="314">
        <f>G73*'Molecular Weights'!$B$31/H79</f>
        <v>0</v>
      </c>
      <c r="I73" s="215">
        <v>0</v>
      </c>
      <c r="J73" s="221">
        <f>I73*'Molecular Weights'!$B$31/J79</f>
        <v>0</v>
      </c>
      <c r="K73" s="114">
        <v>0</v>
      </c>
      <c r="L73" s="49">
        <f>K73*'Molecular Weights'!$B$31/L79</f>
        <v>0</v>
      </c>
      <c r="M73" s="118">
        <v>0</v>
      </c>
      <c r="N73" s="49">
        <f>M73*'Molecular Weights'!$B$31/N79</f>
        <v>0</v>
      </c>
      <c r="O73" s="216">
        <v>0</v>
      </c>
      <c r="P73" s="49">
        <f>O73*'Molecular Weights'!$B$31/P79</f>
        <v>0</v>
      </c>
      <c r="Q73" s="113">
        <v>0</v>
      </c>
      <c r="R73" s="49">
        <f>Q73*'Molecular Weights'!$B$31/R79</f>
        <v>0</v>
      </c>
      <c r="S73" s="113">
        <v>0</v>
      </c>
      <c r="T73" s="49">
        <f>S73*'Molecular Weights'!$B$31/T79</f>
        <v>0</v>
      </c>
      <c r="U73" s="113">
        <v>0</v>
      </c>
      <c r="V73" s="49">
        <f>U73*'Molecular Weights'!$B$31/V79</f>
        <v>0</v>
      </c>
      <c r="W73" s="113">
        <v>0</v>
      </c>
      <c r="X73" s="49">
        <f>W73*'Molecular Weights'!$B$31/X79</f>
        <v>0</v>
      </c>
      <c r="Y73" s="113">
        <v>0</v>
      </c>
      <c r="Z73" s="49">
        <f>Y73*'Molecular Weights'!$B$31/Z79</f>
        <v>0</v>
      </c>
      <c r="AA73" s="312">
        <f>AA$81*'Molecular Weights'!$AI31</f>
        <v>0</v>
      </c>
      <c r="AB73" s="221">
        <f>AA73*'Molecular Weights'!$B$31/AB79</f>
        <v>0</v>
      </c>
      <c r="AC73" s="312">
        <f>AC$81*'Molecular Weights'!$AI31</f>
        <v>0</v>
      </c>
      <c r="AD73" s="49">
        <f>AC73*'Molecular Weights'!$B$31/AD79</f>
        <v>0</v>
      </c>
      <c r="AE73" s="312">
        <f>AE$81*'Molecular Weights'!$AI31</f>
        <v>0</v>
      </c>
      <c r="AF73" s="49">
        <f>AE73*'Molecular Weights'!$B$31/AF79</f>
        <v>0</v>
      </c>
      <c r="AG73" s="312">
        <f>AG$81*'Molecular Weights'!$E31</f>
        <v>0</v>
      </c>
      <c r="AH73" s="49">
        <f>AG73*'Molecular Weights'!$B$31/AH79</f>
        <v>0</v>
      </c>
      <c r="AI73" s="312">
        <f>AI$81*'Molecular Weights'!$E31</f>
        <v>0</v>
      </c>
      <c r="AJ73" s="49">
        <f>AI73*'Molecular Weights'!$B$31/AJ79</f>
        <v>0</v>
      </c>
      <c r="AK73" s="312">
        <f>AK$81*'Molecular Weights'!$E31</f>
        <v>0</v>
      </c>
      <c r="AL73" s="49">
        <f>AK73*'Molecular Weights'!$B$31/AL79</f>
        <v>0</v>
      </c>
      <c r="AM73" s="24">
        <f t="shared" si="3"/>
        <v>0</v>
      </c>
      <c r="AN73" s="24">
        <f>AM73*'Molecular Weights'!$B$31/AN79</f>
        <v>0</v>
      </c>
      <c r="AO73" s="300" t="e">
        <f>#REF!*'Molecular Weights'!$B$31/AO79</f>
        <v>#REF!</v>
      </c>
    </row>
    <row r="74" spans="1:41" ht="15" hidden="1" thickBot="1" x14ac:dyDescent="0.4">
      <c r="B74" s="315" t="s">
        <v>141</v>
      </c>
      <c r="C74" s="113">
        <v>0</v>
      </c>
      <c r="D74" s="49">
        <f>C74*'Molecular Weights'!$B$23/D79</f>
        <v>0</v>
      </c>
      <c r="E74" s="113">
        <v>0</v>
      </c>
      <c r="F74" s="49">
        <f>E74*'Molecular Weights'!$B$23/F79</f>
        <v>0</v>
      </c>
      <c r="G74" s="113">
        <v>0</v>
      </c>
      <c r="H74" s="49">
        <f>G74*'Molecular Weights'!$B$23/H79</f>
        <v>0</v>
      </c>
      <c r="I74" s="113">
        <v>0</v>
      </c>
      <c r="J74" s="221">
        <f>I74*'Molecular Weights'!$B$23/J79</f>
        <v>0</v>
      </c>
      <c r="K74" s="114">
        <v>0</v>
      </c>
      <c r="L74" s="49">
        <f>K74*'Molecular Weights'!$B$23/L79</f>
        <v>0</v>
      </c>
      <c r="M74" s="114">
        <v>0</v>
      </c>
      <c r="N74" s="49">
        <f>M74*'Molecular Weights'!$B$23/N79</f>
        <v>0</v>
      </c>
      <c r="O74" s="216">
        <v>0</v>
      </c>
      <c r="P74" s="49">
        <f>O74*'Molecular Weights'!$B$23/P79</f>
        <v>0</v>
      </c>
      <c r="Q74" s="113">
        <v>0</v>
      </c>
      <c r="R74" s="49">
        <f>Q74*'Molecular Weights'!$B$23/R79</f>
        <v>0</v>
      </c>
      <c r="S74" s="113">
        <v>0</v>
      </c>
      <c r="T74" s="49">
        <f>S74*'Molecular Weights'!$B$23/T79</f>
        <v>0</v>
      </c>
      <c r="U74" s="113">
        <v>0</v>
      </c>
      <c r="V74" s="49">
        <f>U74*'Molecular Weights'!$B$23/V79</f>
        <v>0</v>
      </c>
      <c r="W74" s="113">
        <v>0</v>
      </c>
      <c r="X74" s="49">
        <f>W74*'Molecular Weights'!$B$23/X79</f>
        <v>0</v>
      </c>
      <c r="Y74" s="113">
        <v>0</v>
      </c>
      <c r="Z74" s="49">
        <f>Y74*'Molecular Weights'!$B$23/Z79</f>
        <v>0</v>
      </c>
      <c r="AA74" s="104">
        <f>AA$81*'Molecular Weights'!$E23</f>
        <v>0</v>
      </c>
      <c r="AB74" s="221">
        <f>AA74*'Molecular Weights'!$B$23/AB79</f>
        <v>0</v>
      </c>
      <c r="AC74" s="104">
        <f>AC$81*'Molecular Weights'!$E23</f>
        <v>0</v>
      </c>
      <c r="AD74" s="49">
        <f>AC74*'Molecular Weights'!$B$23/AD79</f>
        <v>0</v>
      </c>
      <c r="AE74" s="104">
        <f>AE$81*'Molecular Weights'!$E23</f>
        <v>0</v>
      </c>
      <c r="AF74" s="49">
        <f>AE74*'Molecular Weights'!$B$23/AF79</f>
        <v>0</v>
      </c>
      <c r="AG74" s="104">
        <f>AG$81*'Molecular Weights'!$E23</f>
        <v>0</v>
      </c>
      <c r="AH74" s="49">
        <f>AG74*'Molecular Weights'!$B$23/AH79</f>
        <v>0</v>
      </c>
      <c r="AI74" s="104">
        <f>AI$81*'Molecular Weights'!$E23</f>
        <v>0</v>
      </c>
      <c r="AJ74" s="49">
        <f>AI74*'Molecular Weights'!$B$23/AJ79</f>
        <v>0</v>
      </c>
      <c r="AK74" s="104">
        <f>AK$81*'Molecular Weights'!$E23</f>
        <v>0</v>
      </c>
      <c r="AL74" s="49">
        <f>AK74*'Molecular Weights'!$B$23/AL79</f>
        <v>0</v>
      </c>
      <c r="AM74" s="24">
        <f t="shared" si="3"/>
        <v>0</v>
      </c>
      <c r="AN74" s="24">
        <f>AM74*'Molecular Weights'!$B$23/AN79</f>
        <v>0</v>
      </c>
      <c r="AO74" s="300" t="e">
        <f>#REF!*'Molecular Weights'!$B$23/AO79</f>
        <v>#REF!</v>
      </c>
    </row>
    <row r="75" spans="1:41" ht="15" hidden="1" thickBot="1" x14ac:dyDescent="0.4">
      <c r="B75" s="299" t="s">
        <v>329</v>
      </c>
      <c r="C75" s="205">
        <v>0</v>
      </c>
      <c r="D75" s="62">
        <f>C75*'Molecular Weights'!$B$18/D79</f>
        <v>0</v>
      </c>
      <c r="E75" s="205">
        <v>0</v>
      </c>
      <c r="F75" s="62">
        <f>E75*'Molecular Weights'!$B$18/F79</f>
        <v>0</v>
      </c>
      <c r="G75" s="205">
        <v>0</v>
      </c>
      <c r="H75" s="62">
        <f>G75*'Molecular Weights'!$B$18/H79</f>
        <v>0</v>
      </c>
      <c r="I75" s="205">
        <v>0</v>
      </c>
      <c r="J75" s="64">
        <f>I75*'Molecular Weights'!$B$18/J79</f>
        <v>0</v>
      </c>
      <c r="K75" s="205">
        <v>0</v>
      </c>
      <c r="L75" s="62">
        <f>K75*'Molecular Weights'!$B$18/L79</f>
        <v>0</v>
      </c>
      <c r="M75" s="208">
        <v>0</v>
      </c>
      <c r="N75" s="62">
        <f>M75*'Molecular Weights'!$B$18/N79</f>
        <v>0</v>
      </c>
      <c r="O75" s="206">
        <v>0</v>
      </c>
      <c r="P75" s="62">
        <f>O75*'Molecular Weights'!$B$18/P79</f>
        <v>0</v>
      </c>
      <c r="Q75" s="205">
        <v>0</v>
      </c>
      <c r="R75" s="62">
        <f>Q75*'Molecular Weights'!$B$18/R79</f>
        <v>0</v>
      </c>
      <c r="S75" s="205">
        <v>0</v>
      </c>
      <c r="T75" s="62">
        <f>S75*'Molecular Weights'!$B$18/T79</f>
        <v>0</v>
      </c>
      <c r="U75" s="205">
        <v>0</v>
      </c>
      <c r="V75" s="62">
        <f>U75*'Molecular Weights'!$B$18/V79</f>
        <v>0</v>
      </c>
      <c r="W75" s="205">
        <v>0</v>
      </c>
      <c r="X75" s="62">
        <f>W75*'Molecular Weights'!$B$18/X79</f>
        <v>0</v>
      </c>
      <c r="Y75" s="205">
        <v>0</v>
      </c>
      <c r="Z75" s="62">
        <f>Y75*'Molecular Weights'!$B$18/Z79</f>
        <v>0</v>
      </c>
      <c r="AA75" s="205">
        <v>0</v>
      </c>
      <c r="AB75" s="64">
        <f>AA75*'Molecular Weights'!$B$18/AB79</f>
        <v>0</v>
      </c>
      <c r="AC75" s="205">
        <v>0</v>
      </c>
      <c r="AD75" s="62">
        <f>AC75*'Molecular Weights'!$B$18/AD79</f>
        <v>0</v>
      </c>
      <c r="AE75" s="205">
        <v>0</v>
      </c>
      <c r="AF75" s="62">
        <f>AE75*'Molecular Weights'!$B$18/AF79</f>
        <v>0</v>
      </c>
      <c r="AG75" s="205">
        <v>0</v>
      </c>
      <c r="AH75" s="62">
        <f>AG75*'Molecular Weights'!$B$18/AH79</f>
        <v>0</v>
      </c>
      <c r="AI75" s="205">
        <v>0</v>
      </c>
      <c r="AJ75" s="62">
        <f>AI75*'Molecular Weights'!$B$18/AJ79</f>
        <v>0</v>
      </c>
      <c r="AK75" s="205">
        <v>0</v>
      </c>
      <c r="AL75" s="62">
        <f>AK75*'Molecular Weights'!$B$18/AL79</f>
        <v>0</v>
      </c>
      <c r="AM75" s="24">
        <f t="shared" si="3"/>
        <v>0</v>
      </c>
      <c r="AN75" s="24">
        <f>AM75*'Molecular Weights'!$B$18/AN79</f>
        <v>0</v>
      </c>
      <c r="AO75" s="300" t="e">
        <f>#REF!*'Molecular Weights'!$B$18/AO79</f>
        <v>#REF!</v>
      </c>
    </row>
    <row r="76" spans="1:41" ht="15" thickBot="1" x14ac:dyDescent="0.4">
      <c r="A76" s="355"/>
      <c r="B76" s="299" t="s">
        <v>163</v>
      </c>
      <c r="C76" s="66">
        <f t="shared" ref="C76:AN76" si="4">SUM(C16:C53)</f>
        <v>0.99993699999999985</v>
      </c>
      <c r="D76" s="67">
        <f t="shared" si="4"/>
        <v>1</v>
      </c>
      <c r="E76" s="66">
        <f t="shared" si="4"/>
        <v>1.0000899999999999</v>
      </c>
      <c r="F76" s="67">
        <f t="shared" si="4"/>
        <v>0.99999999999999978</v>
      </c>
      <c r="G76" s="66">
        <f t="shared" si="4"/>
        <v>1.0003559000000002</v>
      </c>
      <c r="H76" s="67">
        <f t="shared" si="4"/>
        <v>1</v>
      </c>
      <c r="I76" s="289">
        <f t="shared" si="4"/>
        <v>1</v>
      </c>
      <c r="J76" s="297">
        <f t="shared" si="4"/>
        <v>0.99999999999999978</v>
      </c>
      <c r="K76" s="289">
        <f t="shared" si="4"/>
        <v>0.99999999999999978</v>
      </c>
      <c r="L76" s="297">
        <f t="shared" si="4"/>
        <v>1.0000000000000002</v>
      </c>
      <c r="M76" s="66">
        <f t="shared" si="4"/>
        <v>1.000575</v>
      </c>
      <c r="N76" s="67">
        <f t="shared" si="4"/>
        <v>0.99999999999999978</v>
      </c>
      <c r="O76" s="289">
        <f t="shared" si="4"/>
        <v>0.99995699999999987</v>
      </c>
      <c r="P76" s="296">
        <f t="shared" si="4"/>
        <v>1</v>
      </c>
      <c r="Q76" s="289">
        <f t="shared" si="4"/>
        <v>1.0000010000000001</v>
      </c>
      <c r="R76" s="296">
        <f t="shared" si="4"/>
        <v>1</v>
      </c>
      <c r="S76" s="289">
        <f t="shared" si="4"/>
        <v>1</v>
      </c>
      <c r="T76" s="296">
        <f t="shared" si="4"/>
        <v>1.0000000000000002</v>
      </c>
      <c r="U76" s="66">
        <f t="shared" si="4"/>
        <v>1.0000010000000001</v>
      </c>
      <c r="V76" s="67">
        <f t="shared" si="4"/>
        <v>1.0000000000000004</v>
      </c>
      <c r="W76" s="66">
        <f t="shared" si="4"/>
        <v>0.99999999999999989</v>
      </c>
      <c r="X76" s="67">
        <f t="shared" si="4"/>
        <v>1.0000000000000002</v>
      </c>
      <c r="Y76" s="66">
        <f t="shared" si="4"/>
        <v>1.0000009999999999</v>
      </c>
      <c r="Z76" s="67">
        <f t="shared" si="4"/>
        <v>0.99999999999999989</v>
      </c>
      <c r="AA76" s="289">
        <f t="shared" si="4"/>
        <v>1.0000877236311254</v>
      </c>
      <c r="AB76" s="296">
        <f t="shared" si="4"/>
        <v>1.0000000000000007</v>
      </c>
      <c r="AC76" s="289">
        <f t="shared" si="4"/>
        <v>1.0001819913291623</v>
      </c>
      <c r="AD76" s="296">
        <f t="shared" si="4"/>
        <v>1</v>
      </c>
      <c r="AE76" s="289">
        <f t="shared" si="4"/>
        <v>1.0001029655084883</v>
      </c>
      <c r="AF76" s="296">
        <f t="shared" si="4"/>
        <v>0.99999999999999978</v>
      </c>
      <c r="AG76" s="289">
        <f t="shared" si="4"/>
        <v>0.999998206286837</v>
      </c>
      <c r="AH76" s="296">
        <f t="shared" si="4"/>
        <v>0.99999999999999944</v>
      </c>
      <c r="AI76" s="289">
        <f t="shared" si="4"/>
        <v>0.99996465618860508</v>
      </c>
      <c r="AJ76" s="296">
        <f t="shared" si="4"/>
        <v>0.99999999999999989</v>
      </c>
      <c r="AK76" s="289">
        <f t="shared" si="4"/>
        <v>1.0009717629338573</v>
      </c>
      <c r="AL76" s="296">
        <f t="shared" si="4"/>
        <v>0.99999999999999989</v>
      </c>
      <c r="AM76" s="289">
        <f t="shared" si="4"/>
        <v>0.94748684857216492</v>
      </c>
      <c r="AN76" s="289">
        <f t="shared" si="4"/>
        <v>0.99176767214883943</v>
      </c>
      <c r="AO76" s="294">
        <f>SUM(AO16:AO46)</f>
        <v>1</v>
      </c>
    </row>
    <row r="77" spans="1:41" ht="26.5" thickBot="1" x14ac:dyDescent="0.4">
      <c r="A77" s="355"/>
      <c r="B77" s="298" t="s">
        <v>164</v>
      </c>
      <c r="C77" s="289">
        <f t="shared" ref="C77:AN77" si="5">SUM(C25:C53)</f>
        <v>2.4119999999999996E-3</v>
      </c>
      <c r="D77" s="297">
        <f t="shared" si="5"/>
        <v>6.6660257763925309E-3</v>
      </c>
      <c r="E77" s="289">
        <f t="shared" si="5"/>
        <v>2.1219999999999998E-3</v>
      </c>
      <c r="F77" s="297">
        <f t="shared" si="5"/>
        <v>5.84867836165558E-3</v>
      </c>
      <c r="G77" s="289">
        <f t="shared" si="5"/>
        <v>5.2358999999999999E-3</v>
      </c>
      <c r="H77" s="296">
        <f t="shared" si="5"/>
        <v>1.4343013901470514E-2</v>
      </c>
      <c r="I77" s="289">
        <f t="shared" si="5"/>
        <v>4.9560000000000007E-2</v>
      </c>
      <c r="J77" s="297">
        <f t="shared" si="5"/>
        <v>0.13372488547674011</v>
      </c>
      <c r="K77" s="289">
        <f t="shared" si="5"/>
        <v>6.5870000000000008E-3</v>
      </c>
      <c r="L77" s="297">
        <f t="shared" si="5"/>
        <v>1.8058602023499105E-2</v>
      </c>
      <c r="M77" s="289">
        <f t="shared" si="5"/>
        <v>3.9029999999999998E-3</v>
      </c>
      <c r="N77" s="296">
        <f t="shared" si="5"/>
        <v>1.0759839782776328E-2</v>
      </c>
      <c r="O77" s="289">
        <f t="shared" si="5"/>
        <v>4.1013000000000008E-2</v>
      </c>
      <c r="P77" s="297">
        <f t="shared" si="5"/>
        <v>0.10727272813819787</v>
      </c>
      <c r="Q77" s="289">
        <f t="shared" si="5"/>
        <v>6.3888E-2</v>
      </c>
      <c r="R77" s="296">
        <f t="shared" si="5"/>
        <v>0.16158733524463861</v>
      </c>
      <c r="S77" s="289">
        <f t="shared" si="5"/>
        <v>5.1262999999999996E-2</v>
      </c>
      <c r="T77" s="296">
        <f t="shared" si="5"/>
        <v>0.13165579420594217</v>
      </c>
      <c r="U77" s="289">
        <f t="shared" si="5"/>
        <v>6.4353000000000007E-2</v>
      </c>
      <c r="V77" s="296">
        <f t="shared" si="5"/>
        <v>0.16219501205678843</v>
      </c>
      <c r="W77" s="289">
        <f t="shared" si="5"/>
        <v>7.1356000000000017E-2</v>
      </c>
      <c r="X77" s="296">
        <f t="shared" si="5"/>
        <v>0.18610982892125916</v>
      </c>
      <c r="Y77" s="289">
        <f t="shared" si="5"/>
        <v>4.8043999999999989E-2</v>
      </c>
      <c r="Z77" s="296">
        <f t="shared" si="5"/>
        <v>0.12747219108488159</v>
      </c>
      <c r="AA77" s="289">
        <f t="shared" si="5"/>
        <v>2.6825723631125474E-2</v>
      </c>
      <c r="AB77" s="297">
        <f t="shared" si="5"/>
        <v>7.3497845009606197E-2</v>
      </c>
      <c r="AC77" s="289">
        <f t="shared" si="5"/>
        <v>4.3011991329162114E-2</v>
      </c>
      <c r="AD77" s="297">
        <f t="shared" si="5"/>
        <v>0.11480072715689754</v>
      </c>
      <c r="AE77" s="289">
        <f t="shared" si="5"/>
        <v>3.0449965508488171E-2</v>
      </c>
      <c r="AF77" s="297">
        <f t="shared" si="5"/>
        <v>8.3144806817555331E-2</v>
      </c>
      <c r="AG77" s="289">
        <f t="shared" si="5"/>
        <v>1.3848206286836933E-2</v>
      </c>
      <c r="AH77" s="297">
        <f t="shared" si="5"/>
        <v>3.8302054950152091E-2</v>
      </c>
      <c r="AI77" s="289">
        <f t="shared" si="5"/>
        <v>9.2611656188605104E-2</v>
      </c>
      <c r="AJ77" s="297">
        <f t="shared" si="5"/>
        <v>0.22458226386812929</v>
      </c>
      <c r="AK77" s="289">
        <f t="shared" si="5"/>
        <v>0.15593376293385719</v>
      </c>
      <c r="AL77" s="296">
        <f t="shared" si="5"/>
        <v>0.32484860139561533</v>
      </c>
      <c r="AM77" s="289">
        <f t="shared" si="5"/>
        <v>4.0654901203743876E-2</v>
      </c>
      <c r="AN77" s="297">
        <f t="shared" si="5"/>
        <v>0.11572487123049188</v>
      </c>
      <c r="AO77" s="161"/>
    </row>
    <row r="78" spans="1:41" ht="15" thickBot="1" x14ac:dyDescent="0.4">
      <c r="A78" s="355"/>
      <c r="B78" s="295" t="s">
        <v>357</v>
      </c>
      <c r="C78" s="294">
        <f t="shared" ref="C78:AN78" si="6">SUM(C33,C40,C43,C44,C45,)</f>
        <v>0</v>
      </c>
      <c r="D78" s="294">
        <f t="shared" si="6"/>
        <v>0</v>
      </c>
      <c r="E78" s="294">
        <f t="shared" si="6"/>
        <v>0</v>
      </c>
      <c r="F78" s="294">
        <f t="shared" si="6"/>
        <v>0</v>
      </c>
      <c r="G78" s="294">
        <f t="shared" si="6"/>
        <v>0</v>
      </c>
      <c r="H78" s="294">
        <f t="shared" si="6"/>
        <v>0</v>
      </c>
      <c r="I78" s="294">
        <f t="shared" si="6"/>
        <v>1.0700000000000001E-4</v>
      </c>
      <c r="J78" s="294">
        <f t="shared" si="6"/>
        <v>5.0001562609925472E-4</v>
      </c>
      <c r="K78" s="294">
        <f t="shared" si="6"/>
        <v>0</v>
      </c>
      <c r="L78" s="294">
        <f t="shared" si="6"/>
        <v>0</v>
      </c>
      <c r="M78" s="294">
        <f t="shared" si="6"/>
        <v>6.0000000000000002E-6</v>
      </c>
      <c r="N78" s="294">
        <f t="shared" si="6"/>
        <v>3.4436323012337222E-5</v>
      </c>
      <c r="O78" s="294">
        <f t="shared" si="6"/>
        <v>1.1E-4</v>
      </c>
      <c r="P78" s="294">
        <f t="shared" si="6"/>
        <v>4.9982400652924812E-4</v>
      </c>
      <c r="Q78" s="294">
        <f t="shared" si="6"/>
        <v>2.2700000000000004E-4</v>
      </c>
      <c r="R78" s="294">
        <f t="shared" si="6"/>
        <v>9.7233421789869642E-4</v>
      </c>
      <c r="S78" s="294">
        <f t="shared" si="6"/>
        <v>1.4399999999999998E-4</v>
      </c>
      <c r="T78" s="294">
        <f t="shared" si="6"/>
        <v>6.369437497317571E-4</v>
      </c>
      <c r="U78" s="294">
        <f t="shared" si="6"/>
        <v>2.1200000000000003E-4</v>
      </c>
      <c r="V78" s="294">
        <f t="shared" si="6"/>
        <v>9.0780838078513581E-4</v>
      </c>
      <c r="W78" s="294">
        <f t="shared" si="6"/>
        <v>4.9500000000000011E-4</v>
      </c>
      <c r="X78" s="294">
        <f t="shared" si="6"/>
        <v>2.0818610588073791E-3</v>
      </c>
      <c r="Y78" s="294">
        <f t="shared" si="6"/>
        <v>1.8699999999999999E-4</v>
      </c>
      <c r="Z78" s="294">
        <f t="shared" si="6"/>
        <v>8.36539589507091E-4</v>
      </c>
      <c r="AA78" s="294">
        <f t="shared" si="6"/>
        <v>1.1659976805457323E-4</v>
      </c>
      <c r="AB78" s="294">
        <f t="shared" si="6"/>
        <v>5.7388992246223784E-4</v>
      </c>
      <c r="AC78" s="294">
        <f t="shared" si="6"/>
        <v>2.4189772466090404E-4</v>
      </c>
      <c r="AD78" s="294">
        <f t="shared" si="6"/>
        <v>1.1378673274463271E-3</v>
      </c>
      <c r="AE78" s="294">
        <f t="shared" si="6"/>
        <v>1.3685884012448963E-4</v>
      </c>
      <c r="AF78" s="294">
        <f t="shared" si="6"/>
        <v>6.683761460060918E-4</v>
      </c>
      <c r="AG78" s="294">
        <f t="shared" si="6"/>
        <v>1.6143418467583496E-5</v>
      </c>
      <c r="AH78" s="294">
        <f t="shared" si="6"/>
        <v>7.799025468698441E-5</v>
      </c>
      <c r="AI78" s="294">
        <f t="shared" si="6"/>
        <v>3.3609430255402751E-4</v>
      </c>
      <c r="AJ78" s="294">
        <f t="shared" si="6"/>
        <v>1.3217441153502416E-3</v>
      </c>
      <c r="AK78" s="294">
        <f t="shared" si="6"/>
        <v>3.4413359528487233E-4</v>
      </c>
      <c r="AL78" s="294">
        <f t="shared" si="6"/>
        <v>1.1912634200031678E-3</v>
      </c>
      <c r="AM78" s="294">
        <f t="shared" si="6"/>
        <v>1.4234971801079069E-4</v>
      </c>
      <c r="AN78" s="359">
        <f t="shared" si="6"/>
        <v>6.896257994658707E-4</v>
      </c>
      <c r="AO78" s="161"/>
    </row>
    <row r="79" spans="1:41" ht="15" thickBot="1" x14ac:dyDescent="0.4">
      <c r="A79" s="355"/>
      <c r="B79" s="293" t="s">
        <v>165</v>
      </c>
      <c r="C79" s="109"/>
      <c r="D79" s="292">
        <f>C16*'Molecular Weights'!$B$3+C17*'Molecular Weights'!$B$4+C18*'Molecular Weights'!$B$5+C19*'Molecular Weights'!$B$6+C20*'Molecular Weights'!$B$7+C21*'Molecular Weights'!$B$8+C22*'Molecular Weights'!$B$9+C23*'Molecular Weights'!$B$10+C24*'Molecular Weights'!$B$11+C25*'Molecular Weights'!$B$12+C26*'Molecular Weights'!$B$13+C27*'Molecular Weights'!$B$14+C28*'Molecular Weights'!$B$15+C29*'Molecular Weights'!$B$16+C30*'Molecular Weights'!$B$17+C75*'Molecular Weights'!$B$18+C31*'Molecular Weights'!$B$19+C32*'Molecular Weights'!$B$20+C33*'Molecular Weights'!$B$21+C34*'Molecular Weights'!$B$22+C74*'Molecular Weights'!$B$23+C35*'Molecular Weights'!$B$24+C36*'Molecular Weights'!$B$25+C37*'Molecular Weights'!$B$26+C38*'Molecular Weights'!$B$27+C39*'Molecular Weights'!$B$28+C40*'Molecular Weights'!$B$29+C72*'Molecular Weights'!$B$30+C73*'Molecular Weights'!$B$31+C41*'Molecular Weights'!$B$32+C67*'Molecular Weights'!$B$33+C68*'Molecular Weights'!$B$34+C69*'Molecular Weights'!$B$35+C70*'Molecular Weights'!$B$36+C71*'Molecular Weights'!$B$37+C42*'Molecular Weights'!$B$38+C43*'Molecular Weights'!$B$39+C44*'Molecular Weights'!$B$40+C45*'Molecular Weights'!$B$41+C54*'Molecular Weights'!$B$42+C55*'Molecular Weights'!$B$43+C56*'Molecular Weights'!$B$44+C57*'Molecular Weights'!$B$45+C58*'Molecular Weights'!$B$46+C59*'Molecular Weights'!$B$47+C60*'Molecular Weights'!$B$48+C61*'Molecular Weights'!$B$49+C62*'Molecular Weights'!$B$50+C63*'Molecular Weights'!$B$51+C64*'Molecular Weights'!$B$52+C65*'Molecular Weights'!$B$53+C66*'Molecular Weights'!$B$54+C46*'Molecular Weights'!$B$55+C47*'Molecular Weights'!$B$56+C48*'Molecular Weights'!$B$57+C49*'Molecular Weights'!$B$58+C50*'Molecular Weights'!$B$59+C51*'Molecular Weights'!$B$60+C52*'Molecular Weights'!$B$61+C53*'Molecular Weights'!$B$62</f>
        <v>16.651815811019997</v>
      </c>
      <c r="E79" s="109"/>
      <c r="F79" s="292">
        <f>E16*'Molecular Weights'!$B$3+E17*'Molecular Weights'!$B$4+E18*'Molecular Weights'!$B$5+E19*'Molecular Weights'!$B$6+E20*'Molecular Weights'!$B$7+E21*'Molecular Weights'!$B$8+E22*'Molecular Weights'!$B$9+E23*'Molecular Weights'!$B$10+E24*'Molecular Weights'!$B$11+E25*'Molecular Weights'!$B$12+E26*'Molecular Weights'!$B$13+E27*'Molecular Weights'!$B$14+E28*'Molecular Weights'!$B$15+E29*'Molecular Weights'!$B$16+E30*'Molecular Weights'!$B$17+E75*'Molecular Weights'!$B$18+E31*'Molecular Weights'!$B$19+E32*'Molecular Weights'!$B$20+E33*'Molecular Weights'!$B$21+E34*'Molecular Weights'!$B$22+E74*'Molecular Weights'!$B$23+E35*'Molecular Weights'!$B$24+E36*'Molecular Weights'!$B$25+E37*'Molecular Weights'!$B$26+E38*'Molecular Weights'!$B$27+E39*'Molecular Weights'!$B$28+E40*'Molecular Weights'!$B$29+E72*'Molecular Weights'!$B$30+E73*'Molecular Weights'!$B$31+E41*'Molecular Weights'!$B$32+E67*'Molecular Weights'!$B$33+E68*'Molecular Weights'!$B$34+E69*'Molecular Weights'!$B$35+E70*'Molecular Weights'!$B$36+E71*'Molecular Weights'!$B$37+E42*'Molecular Weights'!$B$38+E43*'Molecular Weights'!$B$39+E44*'Molecular Weights'!$B$40+E45*'Molecular Weights'!$B$41+E54*'Molecular Weights'!$B$42+E55*'Molecular Weights'!$B$43+E56*'Molecular Weights'!$B$44+E57*'Molecular Weights'!$B$45+E58*'Molecular Weights'!$B$46+E59*'Molecular Weights'!$B$47+E60*'Molecular Weights'!$B$48+E61*'Molecular Weights'!$B$49+E62*'Molecular Weights'!$B$50+E63*'Molecular Weights'!$B$51+E64*'Molecular Weights'!$B$52+E65*'Molecular Weights'!$B$53+E66*'Molecular Weights'!$B$54+E46*'Molecular Weights'!$B$55+E47*'Molecular Weights'!$B$56+E48*'Molecular Weights'!$B$57+E49*'Molecular Weights'!$B$58+E50*'Molecular Weights'!$B$59+E51*'Molecular Weights'!$B$60+E52*'Molecular Weights'!$B$61+E53*'Molecular Weights'!$B$62</f>
        <v>16.653362684219999</v>
      </c>
      <c r="G79" s="109"/>
      <c r="H79" s="69">
        <f>G16*'Molecular Weights'!$B$3+G17*'Molecular Weights'!$B$4+G18*'Molecular Weights'!$B$5+G19*'Molecular Weights'!$B$6+G20*'Molecular Weights'!$B$7+G21*'Molecular Weights'!$B$8+G22*'Molecular Weights'!$B$9+G23*'Molecular Weights'!$B$10+G24*'Molecular Weights'!$B$11+G25*'Molecular Weights'!$B$12+G26*'Molecular Weights'!$B$13+G27*'Molecular Weights'!$B$14+G28*'Molecular Weights'!$B$15+G29*'Molecular Weights'!$B$16+G30*'Molecular Weights'!$B$17+G75*'Molecular Weights'!$B$18+G31*'Molecular Weights'!$B$19+G32*'Molecular Weights'!$B$20+G33*'Molecular Weights'!$B$21+G34*'Molecular Weights'!$B$22+G74*'Molecular Weights'!$B$23+G35*'Molecular Weights'!$B$24+G36*'Molecular Weights'!$B$25+G37*'Molecular Weights'!$B$26+G38*'Molecular Weights'!$B$27+G39*'Molecular Weights'!$B$28+G40*'Molecular Weights'!$B$29+G72*'Molecular Weights'!$B$30+G73*'Molecular Weights'!$B$31+G41*'Molecular Weights'!$B$32+G67*'Molecular Weights'!$B$33+G68*'Molecular Weights'!$B$34+G69*'Molecular Weights'!$B$35+G70*'Molecular Weights'!$B$36+G71*'Molecular Weights'!$B$37+G42*'Molecular Weights'!$B$38+G43*'Molecular Weights'!$B$39+G44*'Molecular Weights'!$B$40+G45*'Molecular Weights'!$B$41+G54*'Molecular Weights'!$B$42+G55*'Molecular Weights'!$B$43+G56*'Molecular Weights'!$B$44+G57*'Molecular Weights'!$B$45+G58*'Molecular Weights'!$B$46+G59*'Molecular Weights'!$B$47+G60*'Molecular Weights'!$B$48+G61*'Molecular Weights'!$B$49+G62*'Molecular Weights'!$B$50+G63*'Molecular Weights'!$B$51+G64*'Molecular Weights'!$B$52+G65*'Molecular Weights'!$B$53+G66*'Molecular Weights'!$B$54+G46*'Molecular Weights'!$B$55+G47*'Molecular Weights'!$B$56+G48*'Molecular Weights'!$B$57+G49*'Molecular Weights'!$B$58+G50*'Molecular Weights'!$B$59+G51*'Molecular Weights'!$B$60+G52*'Molecular Weights'!$B$61+G53*'Molecular Weights'!$B$62</f>
        <v>16.976023905061997</v>
      </c>
      <c r="I79" s="109"/>
      <c r="J79" s="292">
        <f>I16*'Molecular Weights'!$B$3+I17*'Molecular Weights'!$B$4+I18*'Molecular Weights'!$B$5+I19*'Molecular Weights'!$B$6+I20*'Molecular Weights'!$B$7+I21*'Molecular Weights'!$B$8+I22*'Molecular Weights'!$B$9+I23*'Molecular Weights'!$B$10+I24*'Molecular Weights'!$B$11+I25*'Molecular Weights'!$B$12+I26*'Molecular Weights'!$B$13+I27*'Molecular Weights'!$B$14+I28*'Molecular Weights'!$B$15+I29*'Molecular Weights'!$B$16+I30*'Molecular Weights'!$B$17+I75*'Molecular Weights'!$B$18+I31*'Molecular Weights'!$B$19+I32*'Molecular Weights'!$B$20+I33*'Molecular Weights'!$B$21+I34*'Molecular Weights'!$B$22+I74*'Molecular Weights'!$B$23+I35*'Molecular Weights'!$B$24+I36*'Molecular Weights'!$B$25+I37*'Molecular Weights'!$B$26+I38*'Molecular Weights'!$B$27+I39*'Molecular Weights'!$B$28+I40*'Molecular Weights'!$B$29+I72*'Molecular Weights'!$B$30+I73*'Molecular Weights'!$B$31+I41*'Molecular Weights'!$B$32+I67*'Molecular Weights'!$B$33+I68*'Molecular Weights'!$B$34+I69*'Molecular Weights'!$B$35+I70*'Molecular Weights'!$B$36+I71*'Molecular Weights'!$B$37+I42*'Molecular Weights'!$B$38+I43*'Molecular Weights'!$B$39+I44*'Molecular Weights'!$B$40+I45*'Molecular Weights'!$B$41+I54*'Molecular Weights'!$B$42+I55*'Molecular Weights'!$B$43+I56*'Molecular Weights'!$B$44+I57*'Molecular Weights'!$B$45+I58*'Molecular Weights'!$B$46+I59*'Molecular Weights'!$B$47+I60*'Molecular Weights'!$B$48+I61*'Molecular Weights'!$B$49+I62*'Molecular Weights'!$B$50+I63*'Molecular Weights'!$B$51+I64*'Molecular Weights'!$B$52+I65*'Molecular Weights'!$B$53+I66*'Molecular Weights'!$B$54+I46*'Molecular Weights'!$B$55+I47*'Molecular Weights'!$B$56+I48*'Molecular Weights'!$B$57+I49*'Molecular Weights'!$B$58+I50*'Molecular Weights'!$B$59+I51*'Molecular Weights'!$B$60+I52*'Molecular Weights'!$B$61+I53*'Molecular Weights'!$B$62</f>
        <v>19.688953396919999</v>
      </c>
      <c r="K79" s="109"/>
      <c r="L79" s="292">
        <f>K16*'Molecular Weights'!$B$3+K17*'Molecular Weights'!$B$4+K18*'Molecular Weights'!$B$5+K19*'Molecular Weights'!$B$6+K20*'Molecular Weights'!$B$7+K21*'Molecular Weights'!$B$8+K22*'Molecular Weights'!$B$9+K23*'Molecular Weights'!$B$10+K24*'Molecular Weights'!$B$11+K25*'Molecular Weights'!$B$12+K26*'Molecular Weights'!$B$13+K27*'Molecular Weights'!$B$14+K28*'Molecular Weights'!$B$15+K29*'Molecular Weights'!$B$16+K30*'Molecular Weights'!$B$17+K75*'Molecular Weights'!$B$18+K31*'Molecular Weights'!$B$19+K32*'Molecular Weights'!$B$20+K33*'Molecular Weights'!$B$21+K34*'Molecular Weights'!$B$22+K74*'Molecular Weights'!$B$23+K35*'Molecular Weights'!$B$24+K36*'Molecular Weights'!$B$25+K37*'Molecular Weights'!$B$26+K38*'Molecular Weights'!$B$27+K39*'Molecular Weights'!$B$28+K40*'Molecular Weights'!$B$29+K72*'Molecular Weights'!$B$30+K73*'Molecular Weights'!$B$31+K41*'Molecular Weights'!$B$32+K67*'Molecular Weights'!$B$33+K68*'Molecular Weights'!$B$34+K69*'Molecular Weights'!$B$35+K70*'Molecular Weights'!$B$36+K71*'Molecular Weights'!$B$37+K42*'Molecular Weights'!$B$38+K43*'Molecular Weights'!$B$39+K44*'Molecular Weights'!$B$40+K45*'Molecular Weights'!$B$41+K54*'Molecular Weights'!$B$42+K55*'Molecular Weights'!$B$43+K56*'Molecular Weights'!$B$44+K57*'Molecular Weights'!$B$45+K58*'Molecular Weights'!$B$46+K59*'Molecular Weights'!$B$47+K60*'Molecular Weights'!$B$48+K61*'Molecular Weights'!$B$49+K62*'Molecular Weights'!$B$50+K63*'Molecular Weights'!$B$51+K64*'Molecular Weights'!$B$52+K65*'Molecular Weights'!$B$53+K66*'Molecular Weights'!$B$54+K46*'Molecular Weights'!$B$55+K47*'Molecular Weights'!$B$56+K48*'Molecular Weights'!$B$57+K49*'Molecular Weights'!$B$58+K50*'Molecular Weights'!$B$59+K51*'Molecular Weights'!$B$60+K52*'Molecular Weights'!$B$61+K53*'Molecular Weights'!$B$62</f>
        <v>17.111669487919993</v>
      </c>
      <c r="M79" s="109"/>
      <c r="N79" s="69">
        <f>M16*'Molecular Weights'!$B$3+M17*'Molecular Weights'!$B$4+M18*'Molecular Weights'!$B$5+M19*'Molecular Weights'!$B$6+M20*'Molecular Weights'!$B$7+M21*'Molecular Weights'!$B$8+M22*'Molecular Weights'!$B$9+M23*'Molecular Weights'!$B$10+M24*'Molecular Weights'!$B$11+M25*'Molecular Weights'!$B$12+M26*'Molecular Weights'!$B$13+M27*'Molecular Weights'!$B$14+M28*'Molecular Weights'!$B$15+M29*'Molecular Weights'!$B$16+M30*'Molecular Weights'!$B$17+M75*'Molecular Weights'!$B$18+M31*'Molecular Weights'!$B$19+M32*'Molecular Weights'!$B$20+M33*'Molecular Weights'!$B$21+M34*'Molecular Weights'!$B$22+M74*'Molecular Weights'!$B$23+M35*'Molecular Weights'!$B$24+M36*'Molecular Weights'!$B$25+M37*'Molecular Weights'!$B$26+M38*'Molecular Weights'!$B$27+M39*'Molecular Weights'!$B$28+M40*'Molecular Weights'!$B$29+M72*'Molecular Weights'!$B$30+M73*'Molecular Weights'!$B$31+M41*'Molecular Weights'!$B$32+M67*'Molecular Weights'!$B$33+M68*'Molecular Weights'!$B$34+M69*'Molecular Weights'!$B$35+M70*'Molecular Weights'!$B$36+M71*'Molecular Weights'!$B$37+M42*'Molecular Weights'!$B$38+M43*'Molecular Weights'!$B$39+M44*'Molecular Weights'!$B$40+M45*'Molecular Weights'!$B$41+M54*'Molecular Weights'!$B$42+M55*'Molecular Weights'!$B$43+M56*'Molecular Weights'!$B$44+M57*'Molecular Weights'!$B$45+M58*'Molecular Weights'!$B$46+M59*'Molecular Weights'!$B$47+M60*'Molecular Weights'!$B$48+M61*'Molecular Weights'!$B$49+M62*'Molecular Weights'!$B$50+M63*'Molecular Weights'!$B$51+M64*'Molecular Weights'!$B$52+M65*'Molecular Weights'!$B$53+M66*'Molecular Weights'!$B$54+M46*'Molecular Weights'!$B$55+M47*'Molecular Weights'!$B$56+M48*'Molecular Weights'!$B$57+M49*'Molecular Weights'!$B$58+M50*'Molecular Weights'!$B$59+M51*'Molecular Weights'!$B$60+M52*'Molecular Weights'!$B$61+M53*'Molecular Weights'!$B$62</f>
        <v>16.868342180200003</v>
      </c>
      <c r="O79" s="109"/>
      <c r="P79" s="292">
        <f>O16*'Molecular Weights'!$B$3+O17*'Molecular Weights'!$B$4+O18*'Molecular Weights'!$B$5+O19*'Molecular Weights'!$B$6+O20*'Molecular Weights'!$B$7+O21*'Molecular Weights'!$B$8+O22*'Molecular Weights'!$B$9+O23*'Molecular Weights'!$B$10+O24*'Molecular Weights'!$B$11+O25*'Molecular Weights'!$B$12+O26*'Molecular Weights'!$B$13+O27*'Molecular Weights'!$B$14+O28*'Molecular Weights'!$B$15+O29*'Molecular Weights'!$B$16+O30*'Molecular Weights'!$B$17+O75*'Molecular Weights'!$B$18+O31*'Molecular Weights'!$B$19+O32*'Molecular Weights'!$B$20+O33*'Molecular Weights'!$B$21+O34*'Molecular Weights'!$B$22+O74*'Molecular Weights'!$B$23+O35*'Molecular Weights'!$B$24+O36*'Molecular Weights'!$B$25+O37*'Molecular Weights'!$B$26+O38*'Molecular Weights'!$B$27+O39*'Molecular Weights'!$B$28+O40*'Molecular Weights'!$B$29+O72*'Molecular Weights'!$B$30+O73*'Molecular Weights'!$B$31+O41*'Molecular Weights'!$B$32+O67*'Molecular Weights'!$B$33+O68*'Molecular Weights'!$B$34+O69*'Molecular Weights'!$B$35+O70*'Molecular Weights'!$B$36+O71*'Molecular Weights'!$B$37+O42*'Molecular Weights'!$B$38+O43*'Molecular Weights'!$B$39+O44*'Molecular Weights'!$B$40+O45*'Molecular Weights'!$B$41+O54*'Molecular Weights'!$B$42+O55*'Molecular Weights'!$B$43+O56*'Molecular Weights'!$B$44+O57*'Molecular Weights'!$B$45+O58*'Molecular Weights'!$B$46+O59*'Molecular Weights'!$B$47+O60*'Molecular Weights'!$B$48+O61*'Molecular Weights'!$B$49+O62*'Molecular Weights'!$B$50+O63*'Molecular Weights'!$B$51+O64*'Molecular Weights'!$B$52+O65*'Molecular Weights'!$B$53+O66*'Molecular Weights'!$B$54+O46*'Molecular Weights'!$B$55+O47*'Molecular Weights'!$B$56+O48*'Molecular Weights'!$B$57+O49*'Molecular Weights'!$B$58+O50*'Molecular Weights'!$B$59+O51*'Molecular Weights'!$B$60+O52*'Molecular Weights'!$B$61+O53*'Molecular Weights'!$B$62</f>
        <v>19.18313137174</v>
      </c>
      <c r="Q79" s="109"/>
      <c r="R79" s="69">
        <f>Q16*'Molecular Weights'!$B$3+Q17*'Molecular Weights'!$B$4+Q18*'Molecular Weights'!$B$5+Q19*'Molecular Weights'!$B$6+Q20*'Molecular Weights'!$B$7+Q21*'Molecular Weights'!$B$8+Q22*'Molecular Weights'!$B$9+Q23*'Molecular Weights'!$B$10+Q24*'Molecular Weights'!$B$11+Q25*'Molecular Weights'!$B$12+Q26*'Molecular Weights'!$B$13+Q27*'Molecular Weights'!$B$14+Q28*'Molecular Weights'!$B$15+Q29*'Molecular Weights'!$B$16+Q30*'Molecular Weights'!$B$17+Q75*'Molecular Weights'!$B$18+Q31*'Molecular Weights'!$B$19+Q32*'Molecular Weights'!$B$20+Q33*'Molecular Weights'!$B$21+Q34*'Molecular Weights'!$B$22+Q74*'Molecular Weights'!$B$23+Q35*'Molecular Weights'!$B$24+Q36*'Molecular Weights'!$B$25+Q37*'Molecular Weights'!$B$26+Q38*'Molecular Weights'!$B$27+Q39*'Molecular Weights'!$B$28+Q40*'Molecular Weights'!$B$29+Q72*'Molecular Weights'!$B$30+Q73*'Molecular Weights'!$B$31+Q41*'Molecular Weights'!$B$32+Q67*'Molecular Weights'!$B$33+Q68*'Molecular Weights'!$B$34+Q69*'Molecular Weights'!$B$35+Q70*'Molecular Weights'!$B$36+Q71*'Molecular Weights'!$B$37+Q42*'Molecular Weights'!$B$38+Q43*'Molecular Weights'!$B$39+Q44*'Molecular Weights'!$B$40+Q45*'Molecular Weights'!$B$41+Q54*'Molecular Weights'!$B$42+Q55*'Molecular Weights'!$B$43+Q56*'Molecular Weights'!$B$44+Q57*'Molecular Weights'!$B$45+Q58*'Molecular Weights'!$B$46+Q59*'Molecular Weights'!$B$47+Q60*'Molecular Weights'!$B$48+Q61*'Molecular Weights'!$B$49+Q62*'Molecular Weights'!$B$50+Q63*'Molecular Weights'!$B$51+Q64*'Molecular Weights'!$B$52+Q65*'Molecular Weights'!$B$53+Q66*'Molecular Weights'!$B$54+Q46*'Molecular Weights'!$B$55+Q47*'Molecular Weights'!$B$56+Q48*'Molecular Weights'!$B$57+Q49*'Molecular Weights'!$B$58+Q50*'Molecular Weights'!$B$59+Q51*'Molecular Weights'!$B$60+Q52*'Molecular Weights'!$B$61+Q53*'Molecular Weights'!$B$62</f>
        <v>20.370898355099996</v>
      </c>
      <c r="S79" s="109"/>
      <c r="T79" s="69">
        <f>S16*'Molecular Weights'!$B$3+S17*'Molecular Weights'!$B$4+S18*'Molecular Weights'!$B$5+S19*'Molecular Weights'!$B$6+S20*'Molecular Weights'!$B$7+S21*'Molecular Weights'!$B$8+S22*'Molecular Weights'!$B$9+S23*'Molecular Weights'!$B$10+S24*'Molecular Weights'!$B$11+S25*'Molecular Weights'!$B$12+S26*'Molecular Weights'!$B$13+S27*'Molecular Weights'!$B$14+S28*'Molecular Weights'!$B$15+S29*'Molecular Weights'!$B$16+S30*'Molecular Weights'!$B$17+S75*'Molecular Weights'!$B$18+S31*'Molecular Weights'!$B$19+S32*'Molecular Weights'!$B$20+S33*'Molecular Weights'!$B$21+S34*'Molecular Weights'!$B$22+S74*'Molecular Weights'!$B$23+S35*'Molecular Weights'!$B$24+S36*'Molecular Weights'!$B$25+S37*'Molecular Weights'!$B$26+S38*'Molecular Weights'!$B$27+S39*'Molecular Weights'!$B$28+S40*'Molecular Weights'!$B$29+S72*'Molecular Weights'!$B$30+S73*'Molecular Weights'!$B$31+S41*'Molecular Weights'!$B$32+S67*'Molecular Weights'!$B$33+S68*'Molecular Weights'!$B$34+S69*'Molecular Weights'!$B$35+S70*'Molecular Weights'!$B$36+S71*'Molecular Weights'!$B$37+S42*'Molecular Weights'!$B$38+S43*'Molecular Weights'!$B$39+S44*'Molecular Weights'!$B$40+S45*'Molecular Weights'!$B$41+S54*'Molecular Weights'!$B$42+S55*'Molecular Weights'!$B$43+S56*'Molecular Weights'!$B$44+S57*'Molecular Weights'!$B$45+S58*'Molecular Weights'!$B$46+S59*'Molecular Weights'!$B$47+S60*'Molecular Weights'!$B$48+S61*'Molecular Weights'!$B$49+S62*'Molecular Weights'!$B$50+S63*'Molecular Weights'!$B$51+S64*'Molecular Weights'!$B$52+S65*'Molecular Weights'!$B$53+S66*'Molecular Weights'!$B$54+S46*'Molecular Weights'!$B$55+S47*'Molecular Weights'!$B$56+S48*'Molecular Weights'!$B$57+S49*'Molecular Weights'!$B$58+S50*'Molecular Weights'!$B$59+S51*'Molecular Weights'!$B$60+S52*'Molecular Weights'!$B$61+S53*'Molecular Weights'!$B$62</f>
        <v>19.729534178319994</v>
      </c>
      <c r="U79" s="109"/>
      <c r="V79" s="69">
        <f>U16*'Molecular Weights'!$B$3+U17*'Molecular Weights'!$B$4+U18*'Molecular Weights'!$B$5+U19*'Molecular Weights'!$B$6+U20*'Molecular Weights'!$B$7+U21*'Molecular Weights'!$B$8+U22*'Molecular Weights'!$B$9+U23*'Molecular Weights'!$B$10+U24*'Molecular Weights'!$B$11+U25*'Molecular Weights'!$B$12+U26*'Molecular Weights'!$B$13+U27*'Molecular Weights'!$B$14+U28*'Molecular Weights'!$B$15+U29*'Molecular Weights'!$B$16+U30*'Molecular Weights'!$B$17+U75*'Molecular Weights'!$B$18+U31*'Molecular Weights'!$B$19+U32*'Molecular Weights'!$B$20+U33*'Molecular Weights'!$B$21+U34*'Molecular Weights'!$B$22+U74*'Molecular Weights'!$B$23+U35*'Molecular Weights'!$B$24+U36*'Molecular Weights'!$B$25+U37*'Molecular Weights'!$B$26+U38*'Molecular Weights'!$B$27+U39*'Molecular Weights'!$B$28+U40*'Molecular Weights'!$B$29+U72*'Molecular Weights'!$B$30+U73*'Molecular Weights'!$B$31+U41*'Molecular Weights'!$B$32+U67*'Molecular Weights'!$B$33+U68*'Molecular Weights'!$B$34+U69*'Molecular Weights'!$B$35+U70*'Molecular Weights'!$B$36+U71*'Molecular Weights'!$B$37+U42*'Molecular Weights'!$B$38+U43*'Molecular Weights'!$B$39+U44*'Molecular Weights'!$B$40+U45*'Molecular Weights'!$B$41+U54*'Molecular Weights'!$B$42+U55*'Molecular Weights'!$B$43+U56*'Molecular Weights'!$B$44+U57*'Molecular Weights'!$B$45+U58*'Molecular Weights'!$B$46+U59*'Molecular Weights'!$B$47+U60*'Molecular Weights'!$B$48+U61*'Molecular Weights'!$B$49+U62*'Molecular Weights'!$B$50+U63*'Molecular Weights'!$B$51+U64*'Molecular Weights'!$B$52+U65*'Molecular Weights'!$B$53+U66*'Molecular Weights'!$B$54+U46*'Molecular Weights'!$B$55+U47*'Molecular Weights'!$B$56+U48*'Molecular Weights'!$B$57+U49*'Molecular Weights'!$B$58+U50*'Molecular Weights'!$B$59+U51*'Molecular Weights'!$B$60+U52*'Molecular Weights'!$B$61+U53*'Molecular Weights'!$B$62</f>
        <v>20.373658705379992</v>
      </c>
      <c r="W79" s="109"/>
      <c r="X79" s="69">
        <f>W16*'Molecular Weights'!$B$3+W17*'Molecular Weights'!$B$4+W18*'Molecular Weights'!$B$5+W19*'Molecular Weights'!$B$6+W20*'Molecular Weights'!$B$7+W21*'Molecular Weights'!$B$8+W22*'Molecular Weights'!$B$9+W23*'Molecular Weights'!$B$10+W24*'Molecular Weights'!$B$11+W25*'Molecular Weights'!$B$12+W26*'Molecular Weights'!$B$13+W27*'Molecular Weights'!$B$14+W28*'Molecular Weights'!$B$15+W29*'Molecular Weights'!$B$16+W30*'Molecular Weights'!$B$17+W75*'Molecular Weights'!$B$18+W31*'Molecular Weights'!$B$19+W32*'Molecular Weights'!$B$20+W33*'Molecular Weights'!$B$21+W34*'Molecular Weights'!$B$22+W74*'Molecular Weights'!$B$23+W35*'Molecular Weights'!$B$24+W36*'Molecular Weights'!$B$25+W37*'Molecular Weights'!$B$26+W38*'Molecular Weights'!$B$27+W39*'Molecular Weights'!$B$28+W40*'Molecular Weights'!$B$29+W72*'Molecular Weights'!$B$30+W73*'Molecular Weights'!$B$31+W41*'Molecular Weights'!$B$32+W67*'Molecular Weights'!$B$33+W68*'Molecular Weights'!$B$34+W69*'Molecular Weights'!$B$35+W70*'Molecular Weights'!$B$36+W71*'Molecular Weights'!$B$37+W42*'Molecular Weights'!$B$38+W43*'Molecular Weights'!$B$39+W44*'Molecular Weights'!$B$40+W45*'Molecular Weights'!$B$41+W54*'Molecular Weights'!$B$42+W55*'Molecular Weights'!$B$43+W56*'Molecular Weights'!$B$44+W57*'Molecular Weights'!$B$45+W58*'Molecular Weights'!$B$46+W59*'Molecular Weights'!$B$47+W60*'Molecular Weights'!$B$48+W61*'Molecular Weights'!$B$49+W62*'Molecular Weights'!$B$50+W63*'Molecular Weights'!$B$51+W64*'Molecular Weights'!$B$52+W65*'Molecular Weights'!$B$53+W66*'Molecular Weights'!$B$54+W46*'Molecular Weights'!$B$55+W47*'Molecular Weights'!$B$56+W48*'Molecular Weights'!$B$57+W49*'Molecular Weights'!$B$58+W50*'Molecular Weights'!$B$59+W51*'Molecular Weights'!$B$60+W52*'Molecular Weights'!$B$61+W53*'Molecular Weights'!$B$62</f>
        <v>20.748717094859998</v>
      </c>
      <c r="Y79" s="109"/>
      <c r="Z79" s="69">
        <f>Y16*'Molecular Weights'!$B$3+Y17*'Molecular Weights'!$B$4+Y18*'Molecular Weights'!$B$5+Y19*'Molecular Weights'!$B$6+Y20*'Molecular Weights'!$B$7+Y21*'Molecular Weights'!$B$8+Y22*'Molecular Weights'!$B$9+Y23*'Molecular Weights'!$B$10+Y24*'Molecular Weights'!$B$11+Y25*'Molecular Weights'!$B$12+Y26*'Molecular Weights'!$B$13+Y27*'Molecular Weights'!$B$14+Y28*'Molecular Weights'!$B$15+Y29*'Molecular Weights'!$B$16+Y30*'Molecular Weights'!$B$17+Y75*'Molecular Weights'!$B$18+Y31*'Molecular Weights'!$B$19+Y32*'Molecular Weights'!$B$20+Y33*'Molecular Weights'!$B$21+Y34*'Molecular Weights'!$B$22+Y74*'Molecular Weights'!$B$23+Y35*'Molecular Weights'!$B$24+Y36*'Molecular Weights'!$B$25+Y37*'Molecular Weights'!$B$26+Y38*'Molecular Weights'!$B$27+Y39*'Molecular Weights'!$B$28+Y40*'Molecular Weights'!$B$29+Y72*'Molecular Weights'!$B$30+Y73*'Molecular Weights'!$B$31+Y41*'Molecular Weights'!$B$32+Y67*'Molecular Weights'!$B$33+Y68*'Molecular Weights'!$B$34+Y69*'Molecular Weights'!$B$35+Y70*'Molecular Weights'!$B$36+Y71*'Molecular Weights'!$B$37+Y42*'Molecular Weights'!$B$38+Y43*'Molecular Weights'!$B$39+Y44*'Molecular Weights'!$B$40+Y45*'Molecular Weights'!$B$41+Y54*'Molecular Weights'!$B$42+Y55*'Molecular Weights'!$B$43+Y56*'Molecular Weights'!$B$44+Y57*'Molecular Weights'!$B$45+Y58*'Molecular Weights'!$B$46+Y59*'Molecular Weights'!$B$47+Y60*'Molecular Weights'!$B$48+Y61*'Molecular Weights'!$B$49+Y62*'Molecular Weights'!$B$50+Y63*'Molecular Weights'!$B$51+Y64*'Molecular Weights'!$B$52+Y65*'Molecular Weights'!$B$53+Y66*'Molecular Weights'!$B$54+Y46*'Molecular Weights'!$B$55+Y47*'Molecular Weights'!$B$56+Y48*'Molecular Weights'!$B$57+Y49*'Molecular Weights'!$B$58+Y50*'Molecular Weights'!$B$59+Y51*'Molecular Weights'!$B$60+Y52*'Molecular Weights'!$B$61+Y53*'Molecular Weights'!$B$62</f>
        <v>19.506735897119999</v>
      </c>
      <c r="AA79" s="109"/>
      <c r="AB79" s="292">
        <f>AA16*'Molecular Weights'!$B$3+AA17*'Molecular Weights'!$B$4+AA18*'Molecular Weights'!$B$5+AA19*'Molecular Weights'!$B$6+AA20*'Molecular Weights'!$B$7+AA21*'Molecular Weights'!$B$8+AA22*'Molecular Weights'!$B$9+AA23*'Molecular Weights'!$B$10+AA24*'Molecular Weights'!$B$11+AA25*'Molecular Weights'!$B$12+AA26*'Molecular Weights'!$B$13+AA27*'Molecular Weights'!$B$14+AA28*'Molecular Weights'!$B$15+AA29*'Molecular Weights'!$B$16+AA30*'Molecular Weights'!$B$17+AA75*'Molecular Weights'!$B$18+AA31*'Molecular Weights'!$B$19+AA32*'Molecular Weights'!$B$20+AA33*'Molecular Weights'!$B$21+AA34*'Molecular Weights'!$B$22+AA74*'Molecular Weights'!$B$23+AA35*'Molecular Weights'!$B$24+AA36*'Molecular Weights'!$B$25+AA37*'Molecular Weights'!$B$26+AA38*'Molecular Weights'!$B$27+AA39*'Molecular Weights'!$B$28+AA40*'Molecular Weights'!$B$29+AA72*'Molecular Weights'!$B$30+AA73*'Molecular Weights'!$B$31+AA41*'Molecular Weights'!$B$32+AA67*'Molecular Weights'!$B$33+AA68*'Molecular Weights'!$B$34+AA69*'Molecular Weights'!$B$35+AA70*'Molecular Weights'!$B$36+AA71*'Molecular Weights'!$B$37+AA42*'Molecular Weights'!$B$38+AA43*'Molecular Weights'!$B$39+AA44*'Molecular Weights'!$B$40+AA45*'Molecular Weights'!$B$41+AA54*'Molecular Weights'!$B$42+AA55*'Molecular Weights'!$B$43+AA56*'Molecular Weights'!$B$44+AA57*'Molecular Weights'!$B$45+AA58*'Molecular Weights'!$B$46+AA59*'Molecular Weights'!$B$47+AA60*'Molecular Weights'!$B$48+AA61*'Molecular Weights'!$B$49+AA62*'Molecular Weights'!$B$50+AA63*'Molecular Weights'!$B$51+AA64*'Molecular Weights'!$B$52+AA65*'Molecular Weights'!$B$53+AA66*'Molecular Weights'!$B$54+AA46*'Molecular Weights'!$B$55+AA47*'Molecular Weights'!$B$56+AA48*'Molecular Weights'!$B$57+AA49*'Molecular Weights'!$B$58+AA50*'Molecular Weights'!$B$59+AA51*'Molecular Weights'!$B$60+AA52*'Molecular Weights'!$B$61+AA53*'Molecular Weights'!$B$62</f>
        <v>18.418282639479582</v>
      </c>
      <c r="AC79" s="109"/>
      <c r="AD79" s="292">
        <f>AC16*'Molecular Weights'!$B$3+AC17*'Molecular Weights'!$B$4+AC18*'Molecular Weights'!$B$5+AC19*'Molecular Weights'!$B$6+AC20*'Molecular Weights'!$B$7+AC21*'Molecular Weights'!$B$8+AC22*'Molecular Weights'!$B$9+AC23*'Molecular Weights'!$B$10+AC24*'Molecular Weights'!$B$11+AC25*'Molecular Weights'!$B$12+AC26*'Molecular Weights'!$B$13+AC27*'Molecular Weights'!$B$14+AC28*'Molecular Weights'!$B$15+AC29*'Molecular Weights'!$B$16+AC30*'Molecular Weights'!$B$17+AC75*'Molecular Weights'!$B$18+AC31*'Molecular Weights'!$B$19+AC32*'Molecular Weights'!$B$20+AC33*'Molecular Weights'!$B$21+AC34*'Molecular Weights'!$B$22+AC74*'Molecular Weights'!$B$23+AC35*'Molecular Weights'!$B$24+AC36*'Molecular Weights'!$B$25+AC37*'Molecular Weights'!$B$26+AC38*'Molecular Weights'!$B$27+AC39*'Molecular Weights'!$B$28+AC40*'Molecular Weights'!$B$29+AC72*'Molecular Weights'!$B$30+AC73*'Molecular Weights'!$B$31+AC41*'Molecular Weights'!$B$32+AC67*'Molecular Weights'!$B$33+AC68*'Molecular Weights'!$B$34+AC69*'Molecular Weights'!$B$35+AC70*'Molecular Weights'!$B$36+AC71*'Molecular Weights'!$B$37+AC42*'Molecular Weights'!$B$38+AC43*'Molecular Weights'!$B$39+AC44*'Molecular Weights'!$B$40+AC45*'Molecular Weights'!$B$41+AC54*'Molecular Weights'!$B$42+AC55*'Molecular Weights'!$B$43+AC56*'Molecular Weights'!$B$44+AC57*'Molecular Weights'!$B$45+AC58*'Molecular Weights'!$B$46+AC59*'Molecular Weights'!$B$47+AC60*'Molecular Weights'!$B$48+AC61*'Molecular Weights'!$B$49+AC62*'Molecular Weights'!$B$50+AC63*'Molecular Weights'!$B$51+AC64*'Molecular Weights'!$B$52+AC65*'Molecular Weights'!$B$53+AC66*'Molecular Weights'!$B$54+AC46*'Molecular Weights'!$B$55+AC47*'Molecular Weights'!$B$56+AC48*'Molecular Weights'!$B$57+AC49*'Molecular Weights'!$B$58+AC50*'Molecular Weights'!$B$59+AC51*'Molecular Weights'!$B$60+AC52*'Molecular Weights'!$B$61+AC53*'Molecular Weights'!$B$62</f>
        <v>19.271707757224611</v>
      </c>
      <c r="AE79" s="109"/>
      <c r="AF79" s="292">
        <f>AE16*'Molecular Weights'!$B$3+AE17*'Molecular Weights'!$B$4+AE18*'Molecular Weights'!$B$5+AE19*'Molecular Weights'!$B$6+AE20*'Molecular Weights'!$B$7+AE21*'Molecular Weights'!$B$8+AE22*'Molecular Weights'!$B$9+AE23*'Molecular Weights'!$B$10+AE24*'Molecular Weights'!$B$11+AE25*'Molecular Weights'!$B$12+AE26*'Molecular Weights'!$B$13+AE27*'Molecular Weights'!$B$14+AE28*'Molecular Weights'!$B$15+AE29*'Molecular Weights'!$B$16+AE30*'Molecular Weights'!$B$17+AE75*'Molecular Weights'!$B$18+AE31*'Molecular Weights'!$B$19+AE32*'Molecular Weights'!$B$20+AE33*'Molecular Weights'!$B$21+AE34*'Molecular Weights'!$B$22+AE74*'Molecular Weights'!$B$23+AE35*'Molecular Weights'!$B$24+AE36*'Molecular Weights'!$B$25+AE37*'Molecular Weights'!$B$26+AE38*'Molecular Weights'!$B$27+AE39*'Molecular Weights'!$B$28+AE40*'Molecular Weights'!$B$29+AE72*'Molecular Weights'!$B$30+AE73*'Molecular Weights'!$B$31+AE41*'Molecular Weights'!$B$32+AE67*'Molecular Weights'!$B$33+AE68*'Molecular Weights'!$B$34+AE69*'Molecular Weights'!$B$35+AE70*'Molecular Weights'!$B$36+AE71*'Molecular Weights'!$B$37+AE42*'Molecular Weights'!$B$38+AE43*'Molecular Weights'!$B$39+AE44*'Molecular Weights'!$B$40+AE45*'Molecular Weights'!$B$41+AE54*'Molecular Weights'!$B$42+AE55*'Molecular Weights'!$B$43+AE56*'Molecular Weights'!$B$44+AE57*'Molecular Weights'!$B$45+AE58*'Molecular Weights'!$B$46+AE59*'Molecular Weights'!$B$47+AE60*'Molecular Weights'!$B$48+AE61*'Molecular Weights'!$B$49+AE62*'Molecular Weights'!$B$50+AE63*'Molecular Weights'!$B$51+AE64*'Molecular Weights'!$B$52+AE65*'Molecular Weights'!$B$53+AE66*'Molecular Weights'!$B$54+AE46*'Molecular Weights'!$B$55+AE47*'Molecular Weights'!$B$56+AE48*'Molecular Weights'!$B$57+AE49*'Molecular Weights'!$B$58+AE50*'Molecular Weights'!$B$59+AE51*'Molecular Weights'!$B$60+AE52*'Molecular Weights'!$B$61+AE53*'Molecular Weights'!$B$62</f>
        <v>18.562307316476538</v>
      </c>
      <c r="AG79" s="109"/>
      <c r="AH79" s="292">
        <f>AG16*'Molecular Weights'!$B$3+AG17*'Molecular Weights'!$B$4+AG18*'Molecular Weights'!$B$5+AG19*'Molecular Weights'!$B$6+AG20*'Molecular Weights'!$B$7+AG21*'Molecular Weights'!$B$8+AG22*'Molecular Weights'!$B$9+AG23*'Molecular Weights'!$B$10+AG24*'Molecular Weights'!$B$11+AG25*'Molecular Weights'!$B$12+AG26*'Molecular Weights'!$B$13+AG27*'Molecular Weights'!$B$14+AG28*'Molecular Weights'!$B$15+AG29*'Molecular Weights'!$B$16+AG30*'Molecular Weights'!$B$17+AG75*'Molecular Weights'!$B$18+AG31*'Molecular Weights'!$B$19+AG32*'Molecular Weights'!$B$20+AG33*'Molecular Weights'!$B$21+AG34*'Molecular Weights'!$B$22+AG74*'Molecular Weights'!$B$23+AG35*'Molecular Weights'!$B$24+AG36*'Molecular Weights'!$B$25+AG37*'Molecular Weights'!$B$26+AG38*'Molecular Weights'!$B$27+AG39*'Molecular Weights'!$B$28+AG40*'Molecular Weights'!$B$29+AG72*'Molecular Weights'!$B$30+AG73*'Molecular Weights'!$B$31+AG41*'Molecular Weights'!$B$32+AG67*'Molecular Weights'!$B$33+AG68*'Molecular Weights'!$B$34+AG69*'Molecular Weights'!$B$35+AG70*'Molecular Weights'!$B$36+AG71*'Molecular Weights'!$B$37+AG42*'Molecular Weights'!$B$38+AG43*'Molecular Weights'!$B$39+AG44*'Molecular Weights'!$B$40+AG45*'Molecular Weights'!$B$41+AG54*'Molecular Weights'!$B$42+AG55*'Molecular Weights'!$B$43+AG56*'Molecular Weights'!$B$44+AG57*'Molecular Weights'!$B$45+AG58*'Molecular Weights'!$B$46+AG59*'Molecular Weights'!$B$47+AG60*'Molecular Weights'!$B$48+AG61*'Molecular Weights'!$B$49+AG62*'Molecular Weights'!$B$50+AG63*'Molecular Weights'!$B$51+AG64*'Molecular Weights'!$B$52+AG65*'Molecular Weights'!$B$53+AG66*'Molecular Weights'!$B$54+AG46*'Molecular Weights'!$B$55+AG47*'Molecular Weights'!$B$56+AG48*'Molecular Weights'!$B$57+AG49*'Molecular Weights'!$B$58+AG50*'Molecular Weights'!$B$59+AG51*'Molecular Weights'!$B$60+AG52*'Molecular Weights'!$B$61+AG53*'Molecular Weights'!$B$62</f>
        <v>17.605622397895843</v>
      </c>
      <c r="AI79" s="109"/>
      <c r="AJ79" s="292">
        <f>AI16*'Molecular Weights'!$B$3+AI17*'Molecular Weights'!$B$4+AI18*'Molecular Weights'!$B$5+AI19*'Molecular Weights'!$B$6+AI20*'Molecular Weights'!$B$7+AI21*'Molecular Weights'!$B$8+AI22*'Molecular Weights'!$B$9+AI23*'Molecular Weights'!$B$10+AI24*'Molecular Weights'!$B$11+AI25*'Molecular Weights'!$B$12+AI26*'Molecular Weights'!$B$13+AI27*'Molecular Weights'!$B$14+AI28*'Molecular Weights'!$B$15+AI29*'Molecular Weights'!$B$16+AI30*'Molecular Weights'!$B$17+AI75*'Molecular Weights'!$B$18+AI31*'Molecular Weights'!$B$19+AI32*'Molecular Weights'!$B$20+AI33*'Molecular Weights'!$B$21+AI34*'Molecular Weights'!$B$22+AI74*'Molecular Weights'!$B$23+AI35*'Molecular Weights'!$B$24+AI36*'Molecular Weights'!$B$25+AI37*'Molecular Weights'!$B$26+AI38*'Molecular Weights'!$B$27+AI39*'Molecular Weights'!$B$28+AI40*'Molecular Weights'!$B$29+AI72*'Molecular Weights'!$B$30+AI73*'Molecular Weights'!$B$31+AI41*'Molecular Weights'!$B$32+AI67*'Molecular Weights'!$B$33+AI68*'Molecular Weights'!$B$34+AI69*'Molecular Weights'!$B$35+AI70*'Molecular Weights'!$B$36+AI71*'Molecular Weights'!$B$37+AI42*'Molecular Weights'!$B$38+AI43*'Molecular Weights'!$B$39+AI44*'Molecular Weights'!$B$40+AI45*'Molecular Weights'!$B$41+AI54*'Molecular Weights'!$B$42+AI55*'Molecular Weights'!$B$43+AI56*'Molecular Weights'!$B$44+AI57*'Molecular Weights'!$B$45+AI58*'Molecular Weights'!$B$46+AI59*'Molecular Weights'!$B$47+AI60*'Molecular Weights'!$B$48+AI61*'Molecular Weights'!$B$49+AI62*'Molecular Weights'!$B$50+AI63*'Molecular Weights'!$B$51+AI64*'Molecular Weights'!$B$52+AI65*'Molecular Weights'!$B$53+AI66*'Molecular Weights'!$B$54+AI46*'Molecular Weights'!$B$55+AI47*'Molecular Weights'!$B$56+AI48*'Molecular Weights'!$B$57+AI49*'Molecular Weights'!$B$58+AI50*'Molecular Weights'!$B$59+AI51*'Molecular Weights'!$B$60+AI52*'Molecular Weights'!$B$61+AI53*'Molecular Weights'!$B$62</f>
        <v>21.627682320240275</v>
      </c>
      <c r="AK79" s="109"/>
      <c r="AL79" s="69">
        <f>AK16*'Molecular Weights'!$B$3+AK17*'Molecular Weights'!$B$4+AK18*'Molecular Weights'!$B$5+AK19*'Molecular Weights'!$B$6+AK20*'Molecular Weights'!$B$7+AK21*'Molecular Weights'!$B$8+AK22*'Molecular Weights'!$B$9+AK23*'Molecular Weights'!$B$10+AK24*'Molecular Weights'!$B$11+AK25*'Molecular Weights'!$B$12+AK26*'Molecular Weights'!$B$13+AK27*'Molecular Weights'!$B$14+AK28*'Molecular Weights'!$B$15+AK29*'Molecular Weights'!$B$16+AK30*'Molecular Weights'!$B$17+AK75*'Molecular Weights'!$B$18+AK31*'Molecular Weights'!$B$19+AK32*'Molecular Weights'!$B$20+AK33*'Molecular Weights'!$B$21+AK34*'Molecular Weights'!$B$22+AK74*'Molecular Weights'!$B$23+AK35*'Molecular Weights'!$B$24+AK36*'Molecular Weights'!$B$25+AK37*'Molecular Weights'!$B$26+AK38*'Molecular Weights'!$B$27+AK39*'Molecular Weights'!$B$28+AK40*'Molecular Weights'!$B$29+AK72*'Molecular Weights'!$B$30+AK73*'Molecular Weights'!$B$31+AK41*'Molecular Weights'!$B$32+AK67*'Molecular Weights'!$B$33+AK68*'Molecular Weights'!$B$34+AK69*'Molecular Weights'!$B$35+AK70*'Molecular Weights'!$B$36+AK71*'Molecular Weights'!$B$37+AK42*'Molecular Weights'!$B$38+AK43*'Molecular Weights'!$B$39+AK44*'Molecular Weights'!$B$40+AK45*'Molecular Weights'!$B$41+AK54*'Molecular Weights'!$B$42+AK55*'Molecular Weights'!$B$43+AK56*'Molecular Weights'!$B$44+AK57*'Molecular Weights'!$B$45+AK58*'Molecular Weights'!$B$46+AK59*'Molecular Weights'!$B$47+AK60*'Molecular Weights'!$B$48+AK61*'Molecular Weights'!$B$49+AK62*'Molecular Weights'!$B$50+AK63*'Molecular Weights'!$B$51+AK64*'Molecular Weights'!$B$52+AK65*'Molecular Weights'!$B$53+AK66*'Molecular Weights'!$B$54+AK46*'Molecular Weights'!$B$55+AK47*'Molecular Weights'!$B$56+AK48*'Molecular Weights'!$B$57+AK49*'Molecular Weights'!$B$58+AK50*'Molecular Weights'!$B$59+AK51*'Molecular Weights'!$B$60+AK52*'Molecular Weights'!$B$61+AK53*'Molecular Weights'!$B$62</f>
        <v>24.570584195502061</v>
      </c>
      <c r="AN79" s="292">
        <f>AM16*'Molecular Weights'!$B$3+AM17*'Molecular Weights'!$B$4+AM18*'Molecular Weights'!$B$5+AM19*'Molecular Weights'!$B$6+AM20*'Molecular Weights'!$B$7+AM21*'Molecular Weights'!$B$8+AM22*'Molecular Weights'!$B$9+AM23*'Molecular Weights'!$B$10+AM24*'Molecular Weights'!$B$11+AM25*'Molecular Weights'!$B$12+AM26*'Molecular Weights'!$B$13+AM27*'Molecular Weights'!$B$14+AM28*'Molecular Weights'!$B$15+AM29*'Molecular Weights'!$B$16+AM30*'Molecular Weights'!$B$17+AM75*'Molecular Weights'!$B$18+AM31*'Molecular Weights'!$B$19+AM32*'Molecular Weights'!$B$20+AM33*'Molecular Weights'!$B$21+AM34*'Molecular Weights'!$B$22+AM74*'Molecular Weights'!$B$23+AM35*'Molecular Weights'!$B$24+AM36*'Molecular Weights'!$B$25+AM37*'Molecular Weights'!$B$26+AM38*'Molecular Weights'!$B$27+AM39*'Molecular Weights'!$B$28+AM40*'Molecular Weights'!$B$29+AM72*'Molecular Weights'!$B$30+AM73*'Molecular Weights'!$B$31+AM41*'Molecular Weights'!$B$32+AM67*'Molecular Weights'!$B$33+AM68*'Molecular Weights'!$B$34+AM69*'Molecular Weights'!$B$35+AM70*'Molecular Weights'!$B$36+AM71*'Molecular Weights'!$B$37+AM42*'Molecular Weights'!$B$38+AM43*'Molecular Weights'!$B$39+AM44*'Molecular Weights'!$B$40+AM45*'Molecular Weights'!$B$41+AM54*'Molecular Weights'!$B$42+AM55*'Molecular Weights'!$B$43+AM56*'Molecular Weights'!$B$44+AM57*'Molecular Weights'!$B$45+AM58*'Molecular Weights'!$B$46+AM59*'Molecular Weights'!$B$47+AM60*'Molecular Weights'!$B$48+AM61*'Molecular Weights'!$B$49+AM62*'Molecular Weights'!$B$50+AM63*'Molecular Weights'!$B$51+AM64*'Molecular Weights'!$B$52+AM65*'Molecular Weights'!$B$53+AM66*'Molecular Weights'!$B$54+AM46*'Molecular Weights'!$B$55+AM47*'Molecular Weights'!$B$56+AM48*'Molecular Weights'!$B$57+AM49*'Molecular Weights'!$B$58+AM50*'Molecular Weights'!$B$59+AM51*'Molecular Weights'!$B$60+AM52*'Molecular Weights'!$B$61+AM53*'Molecular Weights'!$B$62</f>
        <v>18.101140789855204</v>
      </c>
      <c r="AO79" s="163"/>
    </row>
    <row r="80" spans="1:41" ht="15" thickBot="1" x14ac:dyDescent="0.4">
      <c r="A80" s="355"/>
      <c r="B80" s="291" t="s">
        <v>166</v>
      </c>
      <c r="C80" s="110"/>
      <c r="D80" s="290">
        <f>D79/393</f>
        <v>4.2371032598015258E-2</v>
      </c>
      <c r="E80" s="110"/>
      <c r="F80" s="290">
        <f>F79/393</f>
        <v>4.2374968662137399E-2</v>
      </c>
      <c r="G80" s="110"/>
      <c r="H80" s="71">
        <f>H79/393</f>
        <v>4.3195989580310422E-2</v>
      </c>
      <c r="I80" s="110"/>
      <c r="J80" s="290">
        <f>J79/393</f>
        <v>5.009911805832061E-2</v>
      </c>
      <c r="K80" s="110"/>
      <c r="L80" s="290">
        <f>L79/393</f>
        <v>4.3541143735165377E-2</v>
      </c>
      <c r="M80" s="110"/>
      <c r="N80" s="71">
        <f>N79/393</f>
        <v>4.2921990280407128E-2</v>
      </c>
      <c r="O80" s="110"/>
      <c r="P80" s="290">
        <f>P79/393</f>
        <v>4.8812039113842243E-2</v>
      </c>
      <c r="Q80" s="110"/>
      <c r="R80" s="71">
        <f>R79/393</f>
        <v>5.1834346959541977E-2</v>
      </c>
      <c r="S80" s="110"/>
      <c r="T80" s="71">
        <f>T79/393</f>
        <v>5.0202377044071232E-2</v>
      </c>
      <c r="U80" s="110"/>
      <c r="V80" s="71">
        <f>V79/393</f>
        <v>5.1841370751603034E-2</v>
      </c>
      <c r="W80" s="110"/>
      <c r="X80" s="71">
        <f>X79/393</f>
        <v>5.2795717798625949E-2</v>
      </c>
      <c r="Y80" s="110"/>
      <c r="Z80" s="71">
        <f>Z79/393</f>
        <v>4.9635460298015265E-2</v>
      </c>
      <c r="AA80" s="110"/>
      <c r="AB80" s="290">
        <f>AB79/393</f>
        <v>4.6865859133535831E-2</v>
      </c>
      <c r="AC80" s="110"/>
      <c r="AD80" s="290">
        <f>AD79/393</f>
        <v>4.9037424318637689E-2</v>
      </c>
      <c r="AE80" s="110"/>
      <c r="AF80" s="290">
        <f>AF79/393</f>
        <v>4.7232334138617146E-2</v>
      </c>
      <c r="AG80" s="110"/>
      <c r="AH80" s="290">
        <f>AH79/393</f>
        <v>4.4798021368691709E-2</v>
      </c>
      <c r="AI80" s="110"/>
      <c r="AJ80" s="290">
        <f>AJ79/393</f>
        <v>5.5032270534962534E-2</v>
      </c>
      <c r="AK80" s="110"/>
      <c r="AL80" s="71">
        <f>AL79/393</f>
        <v>6.2520570472015424E-2</v>
      </c>
      <c r="AN80" s="360" t="e">
        <f>AN79/AO79</f>
        <v>#DIV/0!</v>
      </c>
      <c r="AO80" s="361"/>
    </row>
    <row r="81" spans="1:41" ht="79.150000000000006" customHeight="1" thickBot="1" x14ac:dyDescent="0.4">
      <c r="A81" s="355"/>
      <c r="B81" s="288" t="s">
        <v>356</v>
      </c>
      <c r="C81" s="452" t="s">
        <v>355</v>
      </c>
      <c r="D81" s="453"/>
      <c r="E81" s="452" t="s">
        <v>354</v>
      </c>
      <c r="F81" s="453"/>
      <c r="G81" s="452" t="s">
        <v>353</v>
      </c>
      <c r="H81" s="453"/>
      <c r="I81" s="452"/>
      <c r="J81" s="453"/>
      <c r="K81" s="452" t="s">
        <v>352</v>
      </c>
      <c r="L81" s="453"/>
      <c r="M81" s="452" t="s">
        <v>351</v>
      </c>
      <c r="N81" s="453"/>
      <c r="O81" s="464"/>
      <c r="P81" s="465"/>
      <c r="Q81" s="452"/>
      <c r="R81" s="453"/>
      <c r="S81" s="452"/>
      <c r="T81" s="453"/>
      <c r="U81" s="452"/>
      <c r="V81" s="453"/>
      <c r="W81" s="452"/>
      <c r="X81" s="453"/>
      <c r="Y81" s="452"/>
      <c r="Z81" s="453"/>
      <c r="AA81" s="251">
        <v>1.059E-3</v>
      </c>
      <c r="AB81" s="287"/>
      <c r="AC81" s="251">
        <v>2.1970000000000002E-3</v>
      </c>
      <c r="AD81" s="287"/>
      <c r="AE81" s="251">
        <v>1.243E-3</v>
      </c>
      <c r="AF81" s="287"/>
      <c r="AG81" s="251">
        <v>2.4899999999999998E-4</v>
      </c>
      <c r="AH81" s="287"/>
      <c r="AI81" s="251">
        <v>5.1840000000000002E-3</v>
      </c>
      <c r="AJ81" s="287"/>
      <c r="AK81" s="196">
        <v>5.3080000000000002E-3</v>
      </c>
      <c r="AL81" s="286"/>
      <c r="AN81" s="22" t="s">
        <v>30</v>
      </c>
      <c r="AO81" s="97">
        <f>1/(1-AO23-AO24)</f>
        <v>8.5700477486253863</v>
      </c>
    </row>
    <row r="82" spans="1:41" ht="15" thickBot="1" x14ac:dyDescent="0.4">
      <c r="A82" s="355"/>
      <c r="AA82" s="491">
        <v>0</v>
      </c>
      <c r="AB82" s="492"/>
      <c r="AC82" s="491">
        <v>0</v>
      </c>
      <c r="AD82" s="492"/>
      <c r="AE82" s="491">
        <v>0</v>
      </c>
      <c r="AF82" s="492"/>
      <c r="AG82" s="491">
        <v>0</v>
      </c>
      <c r="AH82" s="492"/>
      <c r="AI82" s="491">
        <v>0</v>
      </c>
      <c r="AJ82" s="492"/>
      <c r="AK82" s="491">
        <v>0</v>
      </c>
      <c r="AL82" s="492"/>
    </row>
    <row r="83" spans="1:41" x14ac:dyDescent="0.35">
      <c r="A83" s="355"/>
      <c r="I83" s="285" t="s">
        <v>350</v>
      </c>
      <c r="J83" s="284"/>
      <c r="K83" s="285" t="s">
        <v>350</v>
      </c>
      <c r="L83" s="284"/>
      <c r="M83" s="285" t="s">
        <v>350</v>
      </c>
      <c r="N83" s="284"/>
      <c r="O83" s="285" t="s">
        <v>349</v>
      </c>
      <c r="P83" s="284"/>
      <c r="Q83" s="285" t="s">
        <v>349</v>
      </c>
      <c r="R83" s="284"/>
      <c r="S83" s="285" t="s">
        <v>349</v>
      </c>
      <c r="T83" s="284"/>
      <c r="U83" s="285" t="s">
        <v>349</v>
      </c>
      <c r="V83" s="284"/>
      <c r="W83" s="285" t="s">
        <v>349</v>
      </c>
      <c r="X83" s="284"/>
      <c r="Y83" s="285" t="s">
        <v>349</v>
      </c>
      <c r="Z83" s="284"/>
    </row>
    <row r="84" spans="1:41" x14ac:dyDescent="0.35">
      <c r="A84" s="355"/>
      <c r="I84" s="283">
        <f>0.486/(0.486+0.93)</f>
        <v>0.34322033898305088</v>
      </c>
      <c r="J84" s="282"/>
      <c r="K84" s="283">
        <v>0</v>
      </c>
      <c r="L84" s="282"/>
      <c r="M84" s="283">
        <v>0</v>
      </c>
      <c r="N84" s="282"/>
      <c r="O84" s="283">
        <f>2/3</f>
        <v>0.66666666666666663</v>
      </c>
      <c r="P84" s="282"/>
      <c r="Q84" s="283">
        <f>2/3</f>
        <v>0.66666666666666663</v>
      </c>
      <c r="R84" s="282"/>
      <c r="S84" s="283">
        <f>2/3</f>
        <v>0.66666666666666663</v>
      </c>
      <c r="T84" s="282"/>
      <c r="U84" s="283">
        <f>2/3</f>
        <v>0.66666666666666663</v>
      </c>
      <c r="V84" s="282"/>
      <c r="W84" s="283">
        <f>2/3</f>
        <v>0.66666666666666663</v>
      </c>
      <c r="X84" s="282"/>
      <c r="Y84" s="283">
        <f>2/3</f>
        <v>0.66666666666666663</v>
      </c>
      <c r="Z84" s="282"/>
    </row>
    <row r="85" spans="1:41" x14ac:dyDescent="0.35">
      <c r="A85" s="355"/>
      <c r="I85" s="281">
        <f>0.93/(0.486+0.93)</f>
        <v>0.65677966101694918</v>
      </c>
      <c r="J85" s="280"/>
      <c r="K85" s="281">
        <v>0</v>
      </c>
      <c r="L85" s="280"/>
      <c r="M85" s="281">
        <v>1</v>
      </c>
      <c r="N85" s="280"/>
      <c r="O85" s="281">
        <f>1/3</f>
        <v>0.33333333333333331</v>
      </c>
      <c r="P85" s="280"/>
      <c r="Q85" s="281">
        <f>1/3</f>
        <v>0.33333333333333331</v>
      </c>
      <c r="R85" s="280"/>
      <c r="S85" s="281">
        <f>1/3</f>
        <v>0.33333333333333331</v>
      </c>
      <c r="T85" s="280"/>
      <c r="U85" s="281">
        <f>1/3</f>
        <v>0.33333333333333331</v>
      </c>
      <c r="V85" s="280"/>
      <c r="W85" s="281">
        <f>1/3</f>
        <v>0.33333333333333331</v>
      </c>
      <c r="X85" s="280"/>
      <c r="Y85" s="281">
        <f>1/3</f>
        <v>0.33333333333333331</v>
      </c>
      <c r="Z85" s="280"/>
    </row>
    <row r="86" spans="1:41" x14ac:dyDescent="0.35">
      <c r="A86" s="355"/>
      <c r="I86" s="279">
        <v>5.0000000000000004E-6</v>
      </c>
      <c r="J86" s="276"/>
      <c r="K86" s="278">
        <v>0</v>
      </c>
      <c r="L86" s="276"/>
      <c r="M86" s="277">
        <v>1.9999999999999999E-6</v>
      </c>
      <c r="N86" s="276"/>
      <c r="O86" s="277">
        <v>1.1E-5</v>
      </c>
      <c r="P86" s="276"/>
      <c r="Q86" s="277">
        <v>2.3E-5</v>
      </c>
      <c r="R86" s="276"/>
      <c r="S86" s="277">
        <v>1.5E-5</v>
      </c>
      <c r="T86" s="276"/>
      <c r="U86" s="277">
        <v>2.1999999999999999E-5</v>
      </c>
      <c r="V86" s="276"/>
      <c r="W86" s="277">
        <v>5.1E-5</v>
      </c>
      <c r="X86" s="276"/>
      <c r="Y86" s="277">
        <v>1.9000000000000001E-5</v>
      </c>
      <c r="Z86" s="276"/>
    </row>
    <row r="87" spans="1:41" x14ac:dyDescent="0.35">
      <c r="A87" s="355"/>
    </row>
    <row r="88" spans="1:41" x14ac:dyDescent="0.35">
      <c r="A88" s="355"/>
    </row>
    <row r="89" spans="1:41" x14ac:dyDescent="0.35">
      <c r="A89" s="355"/>
    </row>
    <row r="90" spans="1:41" x14ac:dyDescent="0.35">
      <c r="A90" s="355"/>
    </row>
    <row r="91" spans="1:41" x14ac:dyDescent="0.35">
      <c r="A91" s="355"/>
    </row>
    <row r="92" spans="1:41" x14ac:dyDescent="0.35">
      <c r="A92" s="355"/>
    </row>
    <row r="93" spans="1:41" x14ac:dyDescent="0.35">
      <c r="A93" s="355"/>
    </row>
    <row r="94" spans="1:41" x14ac:dyDescent="0.35">
      <c r="A94" s="355"/>
    </row>
    <row r="95" spans="1:41" x14ac:dyDescent="0.35">
      <c r="A95" s="355"/>
      <c r="C95" s="24"/>
      <c r="E95" s="24"/>
    </row>
    <row r="96" spans="1:41" x14ac:dyDescent="0.35">
      <c r="A96" s="355"/>
    </row>
    <row r="97" spans="1:1" x14ac:dyDescent="0.35">
      <c r="A97" s="355"/>
    </row>
  </sheetData>
  <mergeCells count="253">
    <mergeCell ref="AC14:AD14"/>
    <mergeCell ref="AE14:AF14"/>
    <mergeCell ref="AG14:AH14"/>
    <mergeCell ref="AI14:AJ14"/>
    <mergeCell ref="AK82:AL82"/>
    <mergeCell ref="AM14:AN14"/>
    <mergeCell ref="AA82:AB82"/>
    <mergeCell ref="AC82:AD82"/>
    <mergeCell ref="AE82:AF82"/>
    <mergeCell ref="AG82:AH82"/>
    <mergeCell ref="AI82:AJ82"/>
    <mergeCell ref="AK14:AL14"/>
    <mergeCell ref="AA14:AB14"/>
    <mergeCell ref="AK12:AL12"/>
    <mergeCell ref="AA11:AB11"/>
    <mergeCell ref="AC11:AD11"/>
    <mergeCell ref="AE11:AF11"/>
    <mergeCell ref="AG11:AH11"/>
    <mergeCell ref="AI11:AJ11"/>
    <mergeCell ref="AC9:AD9"/>
    <mergeCell ref="AE9:AF9"/>
    <mergeCell ref="AG9:AH9"/>
    <mergeCell ref="AI9:AJ9"/>
    <mergeCell ref="AK11:AL11"/>
    <mergeCell ref="AA12:AB12"/>
    <mergeCell ref="AC12:AD12"/>
    <mergeCell ref="AE12:AF12"/>
    <mergeCell ref="AG12:AH12"/>
    <mergeCell ref="AI12:AJ12"/>
    <mergeCell ref="AG7:AH7"/>
    <mergeCell ref="AI7:AJ7"/>
    <mergeCell ref="AK9:AL9"/>
    <mergeCell ref="AA10:AB10"/>
    <mergeCell ref="AC10:AD10"/>
    <mergeCell ref="AE10:AF10"/>
    <mergeCell ref="AG10:AH10"/>
    <mergeCell ref="AI10:AJ10"/>
    <mergeCell ref="AK10:AL10"/>
    <mergeCell ref="AA9:AB9"/>
    <mergeCell ref="AK7:AL7"/>
    <mergeCell ref="AA8:AB8"/>
    <mergeCell ref="AC8:AD8"/>
    <mergeCell ref="AE8:AF8"/>
    <mergeCell ref="AG8:AH8"/>
    <mergeCell ref="AI8:AJ8"/>
    <mergeCell ref="AK8:AL8"/>
    <mergeCell ref="AA7:AB7"/>
    <mergeCell ref="AC7:AD7"/>
    <mergeCell ref="AE7:AF7"/>
    <mergeCell ref="AK6:AL6"/>
    <mergeCell ref="AA5:AB5"/>
    <mergeCell ref="AC5:AD5"/>
    <mergeCell ref="AE5:AF5"/>
    <mergeCell ref="AG5:AH5"/>
    <mergeCell ref="AI5:AJ5"/>
    <mergeCell ref="AC3:AD3"/>
    <mergeCell ref="AE3:AF3"/>
    <mergeCell ref="AG3:AH3"/>
    <mergeCell ref="AI3:AJ3"/>
    <mergeCell ref="AK5:AL5"/>
    <mergeCell ref="AA6:AB6"/>
    <mergeCell ref="AC6:AD6"/>
    <mergeCell ref="AE6:AF6"/>
    <mergeCell ref="AG6:AH6"/>
    <mergeCell ref="AI6:AJ6"/>
    <mergeCell ref="AG1:AH1"/>
    <mergeCell ref="AI1:AJ1"/>
    <mergeCell ref="AK3:AL3"/>
    <mergeCell ref="AA4:AB4"/>
    <mergeCell ref="AC4:AD4"/>
    <mergeCell ref="AE4:AF4"/>
    <mergeCell ref="AG4:AH4"/>
    <mergeCell ref="AI4:AJ4"/>
    <mergeCell ref="AK4:AL4"/>
    <mergeCell ref="AA3:AB3"/>
    <mergeCell ref="AK1:AL1"/>
    <mergeCell ref="AA2:AB2"/>
    <mergeCell ref="AC2:AD2"/>
    <mergeCell ref="AE2:AF2"/>
    <mergeCell ref="AG2:AH2"/>
    <mergeCell ref="AI2:AJ2"/>
    <mergeCell ref="AK2:AL2"/>
    <mergeCell ref="AA1:AB1"/>
    <mergeCell ref="AC1:AD1"/>
    <mergeCell ref="AE1:AF1"/>
    <mergeCell ref="O14:P14"/>
    <mergeCell ref="Q14:R14"/>
    <mergeCell ref="S14:T14"/>
    <mergeCell ref="U14:V14"/>
    <mergeCell ref="W14:X14"/>
    <mergeCell ref="Y14:Z14"/>
    <mergeCell ref="O81:P81"/>
    <mergeCell ref="Q81:R81"/>
    <mergeCell ref="S81:T81"/>
    <mergeCell ref="U81:V81"/>
    <mergeCell ref="W81:X81"/>
    <mergeCell ref="Y81:Z81"/>
    <mergeCell ref="O11:P11"/>
    <mergeCell ref="Q11:R11"/>
    <mergeCell ref="S11:T11"/>
    <mergeCell ref="U11:V11"/>
    <mergeCell ref="W11:X11"/>
    <mergeCell ref="Y11:Z11"/>
    <mergeCell ref="O12:P12"/>
    <mergeCell ref="Q12:R12"/>
    <mergeCell ref="S12:T12"/>
    <mergeCell ref="U12:V12"/>
    <mergeCell ref="W12:X12"/>
    <mergeCell ref="Y12:Z12"/>
    <mergeCell ref="O9:P9"/>
    <mergeCell ref="Q9:R9"/>
    <mergeCell ref="S9:T9"/>
    <mergeCell ref="U9:V9"/>
    <mergeCell ref="W9:X9"/>
    <mergeCell ref="Y9:Z9"/>
    <mergeCell ref="O10:P10"/>
    <mergeCell ref="Q10:R10"/>
    <mergeCell ref="S10:T10"/>
    <mergeCell ref="U10:V10"/>
    <mergeCell ref="W10:X10"/>
    <mergeCell ref="Y10:Z10"/>
    <mergeCell ref="O7:P7"/>
    <mergeCell ref="Q7:R7"/>
    <mergeCell ref="S7:T7"/>
    <mergeCell ref="U7:V7"/>
    <mergeCell ref="W7:X7"/>
    <mergeCell ref="Y7:Z7"/>
    <mergeCell ref="O8:P8"/>
    <mergeCell ref="Q8:R8"/>
    <mergeCell ref="S8:T8"/>
    <mergeCell ref="U8:V8"/>
    <mergeCell ref="W8:X8"/>
    <mergeCell ref="Y8:Z8"/>
    <mergeCell ref="O5:P5"/>
    <mergeCell ref="Q5:R5"/>
    <mergeCell ref="S5:T5"/>
    <mergeCell ref="U5:V5"/>
    <mergeCell ref="W5:X5"/>
    <mergeCell ref="Y5:Z5"/>
    <mergeCell ref="O6:P6"/>
    <mergeCell ref="Q6:R6"/>
    <mergeCell ref="S6:T6"/>
    <mergeCell ref="U6:V6"/>
    <mergeCell ref="W6:X6"/>
    <mergeCell ref="Y6:Z6"/>
    <mergeCell ref="W4:X4"/>
    <mergeCell ref="Y4:Z4"/>
    <mergeCell ref="O3:P3"/>
    <mergeCell ref="Q3:R3"/>
    <mergeCell ref="S3:T3"/>
    <mergeCell ref="U3:V3"/>
    <mergeCell ref="W3:X3"/>
    <mergeCell ref="Y3:Z3"/>
    <mergeCell ref="W2:X2"/>
    <mergeCell ref="Y2:Z2"/>
    <mergeCell ref="O1:P1"/>
    <mergeCell ref="Q1:R1"/>
    <mergeCell ref="S1:T1"/>
    <mergeCell ref="U1:V1"/>
    <mergeCell ref="W1:X1"/>
    <mergeCell ref="Y1:Z1"/>
    <mergeCell ref="E10:F10"/>
    <mergeCell ref="G10:H10"/>
    <mergeCell ref="O2:P2"/>
    <mergeCell ref="Q2:R2"/>
    <mergeCell ref="S2:T2"/>
    <mergeCell ref="U2:V2"/>
    <mergeCell ref="O4:P4"/>
    <mergeCell ref="Q4:R4"/>
    <mergeCell ref="S4:T4"/>
    <mergeCell ref="U4:V4"/>
    <mergeCell ref="E2:F2"/>
    <mergeCell ref="G2:H2"/>
    <mergeCell ref="K5:L5"/>
    <mergeCell ref="E5:F5"/>
    <mergeCell ref="G5:H5"/>
    <mergeCell ref="M3:N3"/>
    <mergeCell ref="I4:J4"/>
    <mergeCell ref="K4:L4"/>
    <mergeCell ref="C81:D81"/>
    <mergeCell ref="E81:F81"/>
    <mergeCell ref="G81:H81"/>
    <mergeCell ref="C12:D12"/>
    <mergeCell ref="E12:F12"/>
    <mergeCell ref="G12:H12"/>
    <mergeCell ref="E8:F8"/>
    <mergeCell ref="G8:H8"/>
    <mergeCell ref="C6:D6"/>
    <mergeCell ref="E6:F6"/>
    <mergeCell ref="G6:H6"/>
    <mergeCell ref="C7:D7"/>
    <mergeCell ref="C8:D8"/>
    <mergeCell ref="C9:D9"/>
    <mergeCell ref="C10:D10"/>
    <mergeCell ref="M5:N5"/>
    <mergeCell ref="I6:J6"/>
    <mergeCell ref="K6:L6"/>
    <mergeCell ref="M6:N6"/>
    <mergeCell ref="C5:D5"/>
    <mergeCell ref="I5:J5"/>
    <mergeCell ref="C14:D14"/>
    <mergeCell ref="I14:J14"/>
    <mergeCell ref="K14:L14"/>
    <mergeCell ref="E14:F14"/>
    <mergeCell ref="G14:H14"/>
    <mergeCell ref="M11:N11"/>
    <mergeCell ref="I12:J12"/>
    <mergeCell ref="K12:L12"/>
    <mergeCell ref="M12:N12"/>
    <mergeCell ref="C11:D11"/>
    <mergeCell ref="M14:N14"/>
    <mergeCell ref="I81:J81"/>
    <mergeCell ref="K81:L81"/>
    <mergeCell ref="M81:N81"/>
    <mergeCell ref="I11:J11"/>
    <mergeCell ref="K11:L11"/>
    <mergeCell ref="E11:F11"/>
    <mergeCell ref="G11:H11"/>
    <mergeCell ref="M7:N7"/>
    <mergeCell ref="I8:J8"/>
    <mergeCell ref="K8:L8"/>
    <mergeCell ref="M8:N8"/>
    <mergeCell ref="I7:J7"/>
    <mergeCell ref="K7:L7"/>
    <mergeCell ref="E7:F7"/>
    <mergeCell ref="G7:H7"/>
    <mergeCell ref="M10:N10"/>
    <mergeCell ref="I9:J9"/>
    <mergeCell ref="K9:L9"/>
    <mergeCell ref="E9:F9"/>
    <mergeCell ref="G9:H9"/>
    <mergeCell ref="M9:N9"/>
    <mergeCell ref="I10:J10"/>
    <mergeCell ref="K10:L10"/>
    <mergeCell ref="M4:N4"/>
    <mergeCell ref="C3:D3"/>
    <mergeCell ref="I3:J3"/>
    <mergeCell ref="K3:L3"/>
    <mergeCell ref="E3:F3"/>
    <mergeCell ref="G3:H3"/>
    <mergeCell ref="M1:N1"/>
    <mergeCell ref="I2:J2"/>
    <mergeCell ref="K2:L2"/>
    <mergeCell ref="M2:N2"/>
    <mergeCell ref="C1:D1"/>
    <mergeCell ref="I1:J1"/>
    <mergeCell ref="K1:L1"/>
    <mergeCell ref="E1:F1"/>
    <mergeCell ref="G1:H1"/>
    <mergeCell ref="C2:D2"/>
    <mergeCell ref="C4:D4"/>
    <mergeCell ref="E4:F4"/>
    <mergeCell ref="G4:H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J65"/>
  <sheetViews>
    <sheetView workbookViewId="0">
      <pane xSplit="5" ySplit="2" topLeftCell="V3" activePane="bottomRight" state="frozen"/>
      <selection pane="topRight" activeCell="F1" sqref="F1"/>
      <selection pane="bottomLeft" activeCell="A3" sqref="A3"/>
      <selection pane="bottomRight" activeCell="AJ1" sqref="AJ1"/>
    </sheetView>
  </sheetViews>
  <sheetFormatPr defaultColWidth="9.1796875" defaultRowHeight="14.5" x14ac:dyDescent="0.35"/>
  <cols>
    <col min="1" max="1" width="17.54296875" style="17" customWidth="1"/>
    <col min="2" max="5" width="12.1796875" style="17" customWidth="1"/>
    <col min="6" max="6" width="9.7265625" style="17" customWidth="1"/>
    <col min="7" max="7" width="13.7265625" style="17" customWidth="1"/>
    <col min="8" max="8" width="9.7265625" style="17" customWidth="1"/>
    <col min="9" max="9" width="13.7265625" style="17" customWidth="1"/>
    <col min="10" max="10" width="9.7265625" style="17" customWidth="1"/>
    <col min="11" max="11" width="13.7265625" style="17" customWidth="1"/>
    <col min="12" max="12" width="9.7265625" style="17" customWidth="1"/>
    <col min="13" max="13" width="13.7265625" style="17" customWidth="1"/>
    <col min="14" max="14" width="9.7265625" style="17" customWidth="1"/>
    <col min="15" max="15" width="13.7265625" style="17" customWidth="1"/>
    <col min="16" max="16" width="9.7265625" style="17" customWidth="1"/>
    <col min="17" max="17" width="13.7265625" style="17" customWidth="1"/>
    <col min="18" max="18" width="9.7265625" style="17" customWidth="1"/>
    <col min="19" max="19" width="13.7265625" style="17" customWidth="1"/>
    <col min="20" max="20" width="9.7265625" style="17" customWidth="1"/>
    <col min="21" max="21" width="10.26953125" style="17" customWidth="1"/>
    <col min="22" max="22" width="9.7265625" style="17" customWidth="1"/>
    <col min="23" max="23" width="13.7265625" style="17" customWidth="1"/>
    <col min="24" max="24" width="10" style="17" bestFit="1" customWidth="1"/>
    <col min="25" max="25" width="11.1796875" style="17" customWidth="1"/>
    <col min="26" max="26" width="9.1796875" style="17"/>
    <col min="27" max="27" width="10.7265625" style="17" customWidth="1"/>
    <col min="28" max="28" width="9.1796875" style="17"/>
    <col min="29" max="29" width="10.1796875" style="17" customWidth="1"/>
    <col min="30" max="30" width="9.1796875" style="17"/>
    <col min="31" max="31" width="9.7265625" style="17" customWidth="1"/>
    <col min="32" max="32" width="9.1796875" style="17"/>
    <col min="33" max="33" width="10" style="17" customWidth="1"/>
    <col min="34" max="34" width="2.81640625" style="17" hidden="1" customWidth="1"/>
    <col min="35" max="35" width="17.453125" style="17" customWidth="1"/>
    <col min="36" max="16384" width="9.1796875" style="17"/>
  </cols>
  <sheetData>
    <row r="1" spans="1:36" ht="51" customHeight="1" x14ac:dyDescent="0.35">
      <c r="A1" s="501" t="s">
        <v>348</v>
      </c>
      <c r="B1" s="501" t="s">
        <v>117</v>
      </c>
      <c r="C1" s="394" t="s">
        <v>344</v>
      </c>
      <c r="D1" s="503"/>
      <c r="E1" s="395"/>
      <c r="F1" s="446" t="s">
        <v>347</v>
      </c>
      <c r="G1" s="447"/>
      <c r="H1" s="446" t="s">
        <v>346</v>
      </c>
      <c r="I1" s="507"/>
      <c r="J1" s="446" t="s">
        <v>345</v>
      </c>
      <c r="K1" s="447"/>
      <c r="L1" s="508" t="s">
        <v>344</v>
      </c>
      <c r="M1" s="433"/>
      <c r="N1" s="432" t="s">
        <v>343</v>
      </c>
      <c r="O1" s="433"/>
      <c r="P1" s="432" t="s">
        <v>342</v>
      </c>
      <c r="Q1" s="433"/>
      <c r="R1" s="432" t="s">
        <v>341</v>
      </c>
      <c r="S1" s="433"/>
      <c r="T1" s="432" t="s">
        <v>340</v>
      </c>
      <c r="U1" s="433"/>
      <c r="V1" s="432" t="s">
        <v>339</v>
      </c>
      <c r="W1" s="433"/>
      <c r="X1" s="497" t="s">
        <v>338</v>
      </c>
      <c r="Y1" s="498"/>
      <c r="Z1" s="497" t="s">
        <v>337</v>
      </c>
      <c r="AA1" s="498"/>
      <c r="AB1" s="497" t="s">
        <v>336</v>
      </c>
      <c r="AC1" s="498"/>
      <c r="AD1" s="497" t="s">
        <v>335</v>
      </c>
      <c r="AE1" s="498"/>
      <c r="AF1" s="499" t="s">
        <v>334</v>
      </c>
      <c r="AG1" s="500"/>
      <c r="AH1" s="275" t="s">
        <v>333</v>
      </c>
      <c r="AI1" s="274" t="s">
        <v>332</v>
      </c>
      <c r="AJ1" s="2" t="s">
        <v>480</v>
      </c>
    </row>
    <row r="2" spans="1:36" ht="40.15" customHeight="1" thickBot="1" x14ac:dyDescent="0.4">
      <c r="A2" s="502"/>
      <c r="B2" s="502"/>
      <c r="C2" s="273" t="s">
        <v>331</v>
      </c>
      <c r="D2" s="272" t="s">
        <v>330</v>
      </c>
      <c r="E2" s="271" t="s">
        <v>173</v>
      </c>
      <c r="F2" s="269" t="s">
        <v>120</v>
      </c>
      <c r="G2" s="268" t="s">
        <v>173</v>
      </c>
      <c r="H2" s="269" t="s">
        <v>120</v>
      </c>
      <c r="I2" s="270" t="s">
        <v>173</v>
      </c>
      <c r="J2" s="269" t="s">
        <v>120</v>
      </c>
      <c r="K2" s="268" t="s">
        <v>173</v>
      </c>
      <c r="L2" s="33" t="s">
        <v>120</v>
      </c>
      <c r="M2" s="34" t="s">
        <v>173</v>
      </c>
      <c r="N2" s="35" t="s">
        <v>120</v>
      </c>
      <c r="O2" s="34" t="s">
        <v>173</v>
      </c>
      <c r="P2" s="35" t="s">
        <v>120</v>
      </c>
      <c r="Q2" s="34" t="s">
        <v>173</v>
      </c>
      <c r="R2" s="35" t="s">
        <v>120</v>
      </c>
      <c r="S2" s="34" t="s">
        <v>173</v>
      </c>
      <c r="T2" s="35" t="s">
        <v>120</v>
      </c>
      <c r="U2" s="34" t="s">
        <v>173</v>
      </c>
      <c r="V2" s="35" t="s">
        <v>120</v>
      </c>
      <c r="W2" s="34" t="s">
        <v>173</v>
      </c>
      <c r="X2" s="265" t="s">
        <v>120</v>
      </c>
      <c r="Y2" s="267" t="s">
        <v>173</v>
      </c>
      <c r="Z2" s="265" t="s">
        <v>120</v>
      </c>
      <c r="AA2" s="266" t="s">
        <v>173</v>
      </c>
      <c r="AB2" s="265" t="s">
        <v>120</v>
      </c>
      <c r="AC2" s="266" t="s">
        <v>173</v>
      </c>
      <c r="AD2" s="265" t="s">
        <v>120</v>
      </c>
      <c r="AE2" s="264" t="s">
        <v>173</v>
      </c>
      <c r="AF2" s="263" t="s">
        <v>120</v>
      </c>
      <c r="AG2" s="262" t="s">
        <v>173</v>
      </c>
      <c r="AH2" s="261" t="s">
        <v>120</v>
      </c>
      <c r="AI2" s="260" t="s">
        <v>173</v>
      </c>
    </row>
    <row r="3" spans="1:36" ht="14.5" hidden="1" customHeight="1" x14ac:dyDescent="0.35">
      <c r="A3" s="259" t="s">
        <v>122</v>
      </c>
      <c r="B3" s="214">
        <f>1.00794*2+15.9994</f>
        <v>18.015280000000001</v>
      </c>
      <c r="C3" s="258">
        <v>0</v>
      </c>
      <c r="D3" s="257">
        <v>0</v>
      </c>
      <c r="E3" s="213"/>
      <c r="F3" s="244"/>
      <c r="H3" s="244"/>
      <c r="J3" s="245"/>
      <c r="K3" s="243"/>
      <c r="L3" s="244"/>
      <c r="N3" s="244"/>
      <c r="P3" s="244"/>
      <c r="R3" s="244"/>
      <c r="T3" s="244"/>
      <c r="V3" s="244"/>
      <c r="Z3" s="169"/>
      <c r="AA3" s="243"/>
      <c r="AB3" s="169"/>
      <c r="AC3" s="243"/>
      <c r="AD3" s="169"/>
      <c r="AE3" s="242"/>
      <c r="AF3" s="191"/>
      <c r="AG3" s="241"/>
      <c r="AH3" s="174"/>
      <c r="AI3" s="189"/>
    </row>
    <row r="4" spans="1:36" ht="14.5" hidden="1" customHeight="1" x14ac:dyDescent="0.35">
      <c r="A4" s="256" t="s">
        <v>123</v>
      </c>
      <c r="B4" s="225">
        <f>1.00794*2+32.065</f>
        <v>34.080880000000001</v>
      </c>
      <c r="C4" s="222">
        <v>0</v>
      </c>
      <c r="D4" s="238">
        <v>0</v>
      </c>
      <c r="E4" s="217"/>
      <c r="F4" s="244"/>
      <c r="H4" s="244"/>
      <c r="J4" s="245"/>
      <c r="K4" s="243"/>
      <c r="L4" s="244"/>
      <c r="N4" s="244"/>
      <c r="P4" s="244"/>
      <c r="R4" s="244"/>
      <c r="T4" s="244"/>
      <c r="V4" s="244"/>
      <c r="Z4" s="169"/>
      <c r="AA4" s="243"/>
      <c r="AB4" s="169"/>
      <c r="AC4" s="243"/>
      <c r="AD4" s="169"/>
      <c r="AE4" s="242"/>
      <c r="AF4" s="191"/>
      <c r="AG4" s="241"/>
      <c r="AH4" s="174"/>
      <c r="AI4" s="189"/>
    </row>
    <row r="5" spans="1:36" ht="14.5" hidden="1" customHeight="1" x14ac:dyDescent="0.35">
      <c r="A5" s="255" t="s">
        <v>126</v>
      </c>
      <c r="B5" s="225">
        <f>12.0107+15.9994*2</f>
        <v>44.009500000000003</v>
      </c>
      <c r="C5" s="222">
        <v>9.5500000000000001E-4</v>
      </c>
      <c r="D5" s="238">
        <v>9.5500000000000001E-4</v>
      </c>
      <c r="E5" s="217"/>
      <c r="F5" s="244"/>
      <c r="H5" s="244"/>
      <c r="J5" s="245"/>
      <c r="K5" s="243"/>
      <c r="L5" s="244"/>
      <c r="N5" s="244"/>
      <c r="P5" s="244"/>
      <c r="R5" s="244"/>
      <c r="T5" s="244"/>
      <c r="V5" s="244"/>
      <c r="Z5" s="169"/>
      <c r="AA5" s="243"/>
      <c r="AB5" s="169"/>
      <c r="AC5" s="243"/>
      <c r="AD5" s="169"/>
      <c r="AE5" s="242"/>
      <c r="AF5" s="191"/>
      <c r="AG5" s="241"/>
      <c r="AH5" s="174"/>
      <c r="AI5" s="189"/>
    </row>
    <row r="6" spans="1:36" ht="14.5" hidden="1" customHeight="1" x14ac:dyDescent="0.35">
      <c r="A6" s="254" t="s">
        <v>195</v>
      </c>
      <c r="B6" s="225">
        <f>14.0067*2</f>
        <v>28.013400000000001</v>
      </c>
      <c r="C6" s="222">
        <v>3.1089999999999998E-3</v>
      </c>
      <c r="D6" s="238">
        <v>3.1089999999999998E-3</v>
      </c>
      <c r="E6" s="217"/>
      <c r="F6" s="244"/>
      <c r="H6" s="244"/>
      <c r="J6" s="245"/>
      <c r="K6" s="243"/>
      <c r="L6" s="244"/>
      <c r="N6" s="244"/>
      <c r="P6" s="244"/>
      <c r="R6" s="244"/>
      <c r="T6" s="244"/>
      <c r="V6" s="244"/>
      <c r="Z6" s="169"/>
      <c r="AA6" s="243"/>
      <c r="AB6" s="169"/>
      <c r="AC6" s="243"/>
      <c r="AD6" s="169"/>
      <c r="AE6" s="242"/>
      <c r="AF6" s="191"/>
      <c r="AG6" s="241"/>
      <c r="AH6" s="174"/>
      <c r="AI6" s="189"/>
    </row>
    <row r="7" spans="1:36" ht="14.5" hidden="1" customHeight="1" x14ac:dyDescent="0.35">
      <c r="A7" s="254" t="s">
        <v>196</v>
      </c>
      <c r="B7" s="225">
        <f>15.9994*2</f>
        <v>31.998799999999999</v>
      </c>
      <c r="C7" s="222">
        <v>1.8E-5</v>
      </c>
      <c r="D7" s="238">
        <v>1.8E-5</v>
      </c>
      <c r="E7" s="217"/>
      <c r="F7" s="244"/>
      <c r="H7" s="244"/>
      <c r="J7" s="245"/>
      <c r="K7" s="243"/>
      <c r="L7" s="244"/>
      <c r="N7" s="244"/>
      <c r="P7" s="244"/>
      <c r="R7" s="244"/>
      <c r="T7" s="244"/>
      <c r="V7" s="244"/>
      <c r="Z7" s="169"/>
      <c r="AA7" s="243"/>
      <c r="AB7" s="169"/>
      <c r="AC7" s="243"/>
      <c r="AD7" s="169"/>
      <c r="AE7" s="242"/>
      <c r="AF7" s="191"/>
      <c r="AG7" s="241"/>
      <c r="AH7" s="174"/>
      <c r="AI7" s="189"/>
    </row>
    <row r="8" spans="1:36" ht="15" hidden="1" thickBot="1" x14ac:dyDescent="0.4">
      <c r="A8" s="254" t="s">
        <v>197</v>
      </c>
      <c r="B8" s="225">
        <f>4.0026</f>
        <v>4.0026000000000002</v>
      </c>
      <c r="C8" s="222">
        <v>0</v>
      </c>
      <c r="D8" s="238">
        <v>0</v>
      </c>
      <c r="E8" s="217"/>
      <c r="F8" s="244"/>
      <c r="H8" s="244"/>
      <c r="J8" s="245"/>
      <c r="K8" s="243"/>
      <c r="L8" s="244"/>
      <c r="N8" s="244"/>
      <c r="P8" s="244"/>
      <c r="R8" s="244"/>
      <c r="T8" s="244"/>
      <c r="V8" s="244"/>
      <c r="Z8" s="169"/>
      <c r="AA8" s="243"/>
      <c r="AB8" s="169"/>
      <c r="AC8" s="243"/>
      <c r="AD8" s="169"/>
      <c r="AE8" s="242"/>
      <c r="AF8" s="191"/>
      <c r="AG8" s="241"/>
      <c r="AH8" s="174"/>
      <c r="AI8" s="189"/>
    </row>
    <row r="9" spans="1:36" ht="15" hidden="1" thickBot="1" x14ac:dyDescent="0.4">
      <c r="A9" s="253" t="s">
        <v>198</v>
      </c>
      <c r="B9" s="210">
        <f>1.00794*2</f>
        <v>2.0158800000000001</v>
      </c>
      <c r="C9" s="246">
        <v>0</v>
      </c>
      <c r="D9" s="252">
        <v>0</v>
      </c>
      <c r="E9" s="209"/>
      <c r="F9" s="244"/>
      <c r="H9" s="244"/>
      <c r="J9" s="245"/>
      <c r="K9" s="243"/>
      <c r="L9" s="244"/>
      <c r="N9" s="244"/>
      <c r="P9" s="244"/>
      <c r="R9" s="244"/>
      <c r="T9" s="244"/>
      <c r="V9" s="244"/>
      <c r="Z9" s="169"/>
      <c r="AA9" s="243"/>
      <c r="AB9" s="169"/>
      <c r="AC9" s="243"/>
      <c r="AD9" s="169"/>
      <c r="AE9" s="242"/>
      <c r="AF9" s="191"/>
      <c r="AG9" s="241"/>
      <c r="AH9" s="174"/>
      <c r="AI9" s="189"/>
    </row>
    <row r="10" spans="1:36" ht="15" hidden="1" thickBot="1" x14ac:dyDescent="0.4">
      <c r="A10" s="28" t="s">
        <v>127</v>
      </c>
      <c r="B10" s="204">
        <f>12.0107+1.00794*4</f>
        <v>16.042459999999998</v>
      </c>
      <c r="C10" s="251">
        <v>0.83528400000000003</v>
      </c>
      <c r="D10" s="250">
        <v>0.83528400000000003</v>
      </c>
      <c r="E10" s="203"/>
      <c r="F10" s="244"/>
      <c r="H10" s="244"/>
      <c r="J10" s="245"/>
      <c r="K10" s="243"/>
      <c r="L10" s="244"/>
      <c r="N10" s="244"/>
      <c r="P10" s="244"/>
      <c r="R10" s="244"/>
      <c r="T10" s="244"/>
      <c r="V10" s="244"/>
      <c r="Z10" s="169"/>
      <c r="AA10" s="243"/>
      <c r="AB10" s="169"/>
      <c r="AC10" s="243"/>
      <c r="AD10" s="169"/>
      <c r="AE10" s="242"/>
      <c r="AF10" s="191"/>
      <c r="AG10" s="241"/>
      <c r="AH10" s="174"/>
      <c r="AI10" s="189"/>
    </row>
    <row r="11" spans="1:36" ht="15" hidden="1" thickBot="1" x14ac:dyDescent="0.4">
      <c r="A11" s="28" t="s">
        <v>128</v>
      </c>
      <c r="B11" s="204">
        <f>12.0107*2+1.00794*6</f>
        <v>30.069040000000001</v>
      </c>
      <c r="C11" s="251">
        <v>0.119578</v>
      </c>
      <c r="D11" s="250">
        <v>0.119578</v>
      </c>
      <c r="E11" s="203"/>
      <c r="F11" s="244"/>
      <c r="H11" s="244"/>
      <c r="J11" s="245"/>
      <c r="K11" s="243"/>
      <c r="L11" s="244"/>
      <c r="N11" s="244"/>
      <c r="P11" s="244"/>
      <c r="R11" s="244"/>
      <c r="T11" s="244"/>
      <c r="V11" s="244"/>
      <c r="Z11" s="169"/>
      <c r="AA11" s="243"/>
      <c r="AB11" s="169"/>
      <c r="AC11" s="243"/>
      <c r="AD11" s="169"/>
      <c r="AE11" s="242"/>
      <c r="AF11" s="191"/>
      <c r="AG11" s="241"/>
      <c r="AH11" s="174"/>
      <c r="AI11" s="189"/>
    </row>
    <row r="12" spans="1:36" ht="15" hidden="1" thickBot="1" x14ac:dyDescent="0.4">
      <c r="A12" s="28" t="s">
        <v>129</v>
      </c>
      <c r="B12" s="204">
        <f>12.0107*3+1.00794*8</f>
        <v>44.095619999999997</v>
      </c>
      <c r="C12" s="251">
        <v>2.8819999999999998E-2</v>
      </c>
      <c r="D12" s="250">
        <v>2.8819999999999998E-2</v>
      </c>
      <c r="E12" s="203"/>
      <c r="F12" s="244"/>
      <c r="H12" s="244"/>
      <c r="J12" s="245"/>
      <c r="K12" s="243"/>
      <c r="L12" s="244"/>
      <c r="N12" s="244"/>
      <c r="P12" s="244"/>
      <c r="R12" s="244"/>
      <c r="T12" s="244"/>
      <c r="V12" s="244"/>
      <c r="Z12" s="169"/>
      <c r="AA12" s="243"/>
      <c r="AB12" s="169"/>
      <c r="AC12" s="243"/>
      <c r="AD12" s="169"/>
      <c r="AE12" s="242"/>
      <c r="AF12" s="191"/>
      <c r="AG12" s="241"/>
      <c r="AH12" s="174"/>
      <c r="AI12" s="189"/>
    </row>
    <row r="13" spans="1:36" ht="15" hidden="1" thickBot="1" x14ac:dyDescent="0.4">
      <c r="A13" s="23" t="s">
        <v>130</v>
      </c>
      <c r="B13" s="214">
        <f>12.0107*4+1.00794*10</f>
        <v>58.122199999999999</v>
      </c>
      <c r="C13" s="230">
        <v>3.0330000000000001E-3</v>
      </c>
      <c r="D13" s="240">
        <v>3.0330000000000001E-3</v>
      </c>
      <c r="E13" s="213"/>
      <c r="F13" s="244"/>
      <c r="H13" s="244"/>
      <c r="J13" s="245"/>
      <c r="K13" s="243"/>
      <c r="L13" s="244"/>
      <c r="N13" s="244"/>
      <c r="P13" s="244"/>
      <c r="R13" s="244"/>
      <c r="T13" s="244"/>
      <c r="V13" s="244"/>
      <c r="Z13" s="169"/>
      <c r="AA13" s="243"/>
      <c r="AB13" s="169"/>
      <c r="AC13" s="243"/>
      <c r="AD13" s="169"/>
      <c r="AE13" s="242"/>
      <c r="AF13" s="191"/>
      <c r="AG13" s="241"/>
      <c r="AH13" s="174"/>
      <c r="AI13" s="189"/>
    </row>
    <row r="14" spans="1:36" ht="30.65" hidden="1" customHeight="1" thickBot="1" x14ac:dyDescent="0.4">
      <c r="A14" s="27" t="s">
        <v>131</v>
      </c>
      <c r="B14" s="210">
        <f>12.0107*4+1.00794*10</f>
        <v>58.122199999999999</v>
      </c>
      <c r="C14" s="249">
        <v>5.3699999999999998E-3</v>
      </c>
      <c r="D14" s="248">
        <v>5.3699999999999998E-3</v>
      </c>
      <c r="E14" s="209"/>
      <c r="F14" s="244"/>
      <c r="H14" s="244"/>
      <c r="J14" s="245"/>
      <c r="K14" s="243"/>
      <c r="L14" s="244"/>
      <c r="N14" s="244"/>
      <c r="P14" s="244"/>
      <c r="R14" s="244"/>
      <c r="T14" s="244"/>
      <c r="V14" s="244"/>
      <c r="Z14" s="169"/>
      <c r="AA14" s="243"/>
      <c r="AB14" s="169"/>
      <c r="AC14" s="243"/>
      <c r="AD14" s="169"/>
      <c r="AE14" s="242"/>
      <c r="AF14" s="191"/>
      <c r="AG14" s="241"/>
      <c r="AH14" s="174"/>
      <c r="AI14" s="189"/>
    </row>
    <row r="15" spans="1:36" ht="10.9" hidden="1" customHeight="1" thickBot="1" x14ac:dyDescent="0.4">
      <c r="A15" s="23" t="s">
        <v>133</v>
      </c>
      <c r="B15" s="214">
        <f>12.0107*5+1.00794*12</f>
        <v>72.148780000000002</v>
      </c>
      <c r="C15" s="230">
        <v>1.2229999999999999E-3</v>
      </c>
      <c r="D15" s="240">
        <v>1.2229999999999999E-3</v>
      </c>
      <c r="E15" s="213"/>
      <c r="F15" s="244"/>
      <c r="H15" s="244"/>
      <c r="J15" s="245"/>
      <c r="K15" s="243"/>
      <c r="L15" s="244"/>
      <c r="N15" s="244"/>
      <c r="P15" s="244"/>
      <c r="R15" s="244"/>
      <c r="T15" s="244"/>
      <c r="V15" s="244"/>
      <c r="Z15" s="169"/>
      <c r="AA15" s="243"/>
      <c r="AB15" s="169"/>
      <c r="AC15" s="243"/>
      <c r="AD15" s="169"/>
      <c r="AE15" s="242"/>
      <c r="AF15" s="191"/>
      <c r="AG15" s="241"/>
      <c r="AH15" s="174"/>
      <c r="AI15" s="189"/>
    </row>
    <row r="16" spans="1:36" ht="15" hidden="1" customHeight="1" x14ac:dyDescent="0.35">
      <c r="A16" s="25" t="s">
        <v>134</v>
      </c>
      <c r="B16" s="225">
        <f>12.0107*5+1.00794*12</f>
        <v>72.148780000000002</v>
      </c>
      <c r="C16" s="222">
        <v>1.0399999999999999E-3</v>
      </c>
      <c r="D16" s="238">
        <v>1.0399999999999999E-3</v>
      </c>
      <c r="E16" s="217"/>
      <c r="F16" s="244"/>
      <c r="H16" s="244"/>
      <c r="J16" s="245"/>
      <c r="K16" s="243"/>
      <c r="L16" s="244"/>
      <c r="N16" s="244"/>
      <c r="P16" s="244"/>
      <c r="R16" s="244"/>
      <c r="T16" s="244"/>
      <c r="V16" s="244"/>
      <c r="Z16" s="169"/>
      <c r="AA16" s="243"/>
      <c r="AB16" s="169"/>
      <c r="AC16" s="243"/>
      <c r="AD16" s="169"/>
      <c r="AE16" s="242"/>
      <c r="AF16" s="191"/>
      <c r="AG16" s="241"/>
      <c r="AH16" s="174"/>
      <c r="AI16" s="189"/>
    </row>
    <row r="17" spans="1:35" ht="68.5" hidden="1" customHeight="1" x14ac:dyDescent="0.35">
      <c r="A17" s="219" t="s">
        <v>136</v>
      </c>
      <c r="B17" s="236">
        <f>12.0107*5+1.00794*12</f>
        <v>72.148780000000002</v>
      </c>
      <c r="C17" s="247">
        <v>0</v>
      </c>
      <c r="D17" s="216">
        <v>0</v>
      </c>
      <c r="E17" s="217"/>
      <c r="F17" s="244"/>
      <c r="H17" s="244"/>
      <c r="J17" s="245"/>
      <c r="K17" s="243"/>
      <c r="L17" s="244"/>
      <c r="N17" s="244"/>
      <c r="P17" s="244"/>
      <c r="R17" s="244"/>
      <c r="T17" s="244"/>
      <c r="V17" s="244"/>
      <c r="Z17" s="169"/>
      <c r="AA17" s="243"/>
      <c r="AB17" s="169"/>
      <c r="AC17" s="243"/>
      <c r="AD17" s="169"/>
      <c r="AE17" s="242"/>
      <c r="AF17" s="191"/>
      <c r="AG17" s="241"/>
      <c r="AH17" s="174"/>
      <c r="AI17" s="189"/>
    </row>
    <row r="18" spans="1:35" ht="15" hidden="1" thickBot="1" x14ac:dyDescent="0.4">
      <c r="A18" s="27" t="s">
        <v>329</v>
      </c>
      <c r="B18" s="210">
        <f>12.0107*5+1.00794*12</f>
        <v>72.148780000000002</v>
      </c>
      <c r="C18" s="246">
        <v>0</v>
      </c>
      <c r="D18" s="206">
        <v>0</v>
      </c>
      <c r="E18" s="209"/>
      <c r="F18" s="244"/>
      <c r="H18" s="244"/>
      <c r="J18" s="245"/>
      <c r="K18" s="243"/>
      <c r="L18" s="244"/>
      <c r="N18" s="244"/>
      <c r="P18" s="244"/>
      <c r="R18" s="244"/>
      <c r="T18" s="244"/>
      <c r="V18" s="244"/>
      <c r="Z18" s="169"/>
      <c r="AA18" s="243"/>
      <c r="AB18" s="169"/>
      <c r="AC18" s="243"/>
      <c r="AD18" s="169"/>
      <c r="AE18" s="242"/>
      <c r="AF18" s="191"/>
      <c r="AG18" s="241"/>
      <c r="AH18" s="174"/>
      <c r="AI18" s="189"/>
    </row>
    <row r="19" spans="1:35" x14ac:dyDescent="0.35">
      <c r="A19" s="23" t="s">
        <v>140</v>
      </c>
      <c r="B19" s="214">
        <f>12.0107*6+1.00794*14</f>
        <v>86.175359999999998</v>
      </c>
      <c r="C19" s="504">
        <v>1.57E-3</v>
      </c>
      <c r="D19" s="240">
        <v>2.32E-4</v>
      </c>
      <c r="E19" s="232">
        <f t="shared" ref="E19:E62" si="0">D19/SUM($D$19:$D$62)</f>
        <v>0.15193189259986903</v>
      </c>
      <c r="F19" s="212">
        <v>5.8799999999999998E-4</v>
      </c>
      <c r="G19" s="103">
        <f t="shared" ref="G19:G62" si="1">F19/SUM(F$19:F$62)</f>
        <v>0.15646620542841938</v>
      </c>
      <c r="H19" s="212">
        <v>6.9999999999999999E-6</v>
      </c>
      <c r="I19" s="199">
        <f t="shared" ref="I19:I62" si="2">H19/SUM(H$19:H$62)</f>
        <v>0.25</v>
      </c>
      <c r="J19" s="212">
        <v>3.0000000000000001E-6</v>
      </c>
      <c r="K19" s="103">
        <f t="shared" ref="K19:K62" si="3">J19/SUM(J$19:J$62)</f>
        <v>0.21428571428571433</v>
      </c>
      <c r="L19" s="239">
        <v>2.32E-4</v>
      </c>
      <c r="M19" s="199">
        <f t="shared" ref="M19:M62" si="4">L19/SUM(L$19:L$62)</f>
        <v>0.15193189259986903</v>
      </c>
      <c r="N19" s="230">
        <v>4.7600000000000002E-4</v>
      </c>
      <c r="O19" s="199">
        <f t="shared" ref="O19:O62" si="5">N19/SUM(N$19:N$62)</f>
        <v>0.14782608695652175</v>
      </c>
      <c r="P19" s="230">
        <v>3.0299999999999999E-4</v>
      </c>
      <c r="Q19" s="199">
        <f t="shared" ref="Q19:Q62" si="6">P19/SUM(P$19:P$62)</f>
        <v>0.14773281326182353</v>
      </c>
      <c r="R19" s="230">
        <v>4.46E-4</v>
      </c>
      <c r="S19" s="199">
        <f t="shared" ref="S19:S62" si="7">R19/SUM($F$19:$F$62)</f>
        <v>0.11868014901543375</v>
      </c>
      <c r="T19" s="230">
        <v>1.0430000000000001E-3</v>
      </c>
      <c r="U19" s="199">
        <f t="shared" ref="U19:U62" si="8">T19/SUM(T$19:T$62)</f>
        <v>0.14796425024826221</v>
      </c>
      <c r="V19" s="230">
        <v>3.9199999999999999E-4</v>
      </c>
      <c r="W19" s="199">
        <f t="shared" ref="W19:W62" si="9">V19/SUM(V$19:V$62)</f>
        <v>0.14781297134238311</v>
      </c>
      <c r="X19" s="171">
        <f t="shared" ref="X19:X55" si="10">MIN(F19,H19,J19,L19,N19,P19,R19,T19,V19)</f>
        <v>3.0000000000000001E-6</v>
      </c>
      <c r="Y19" s="172">
        <f t="shared" ref="Y19:Y55" si="11">MIN(G19,I19,K19,M19,O19,Q19,S19,U19,W19)</f>
        <v>0.11868014901543375</v>
      </c>
      <c r="Z19" s="171">
        <f t="shared" ref="Z19:Z55" si="12">MAX(F19,H19,J19,L19,N19,P19,R19,T19,V19)</f>
        <v>1.0430000000000001E-3</v>
      </c>
      <c r="AA19" s="170">
        <f t="shared" ref="AA19:AA55" si="13">MAX(G19,I19,K19,M19,O19,Q19,S19,U19,W19)</f>
        <v>0.25</v>
      </c>
      <c r="AB19" s="171">
        <f t="shared" ref="AB19:AB55" si="14">MEDIAN(F19,H19,J19,L19,N19,P19,R19,T19,V19)</f>
        <v>3.9199999999999999E-4</v>
      </c>
      <c r="AC19" s="170">
        <f t="shared" ref="AC19:AC55" si="15">MEDIAN(G19,I19,K19,M19,O19,Q19,S19,U19,W19)</f>
        <v>0.14796425024826221</v>
      </c>
      <c r="AD19" s="171">
        <f t="shared" ref="AD19:AD55" si="16">AVERAGE(F19,H19,J19,L19,N19,P19,R19,T19,V19)</f>
        <v>3.8777777777777774E-4</v>
      </c>
      <c r="AE19" s="170">
        <f t="shared" ref="AE19:AE55" si="17">AVERAGE(G19,I19,K19,M19,O19,Q19,S19,U19,W19)</f>
        <v>0.1647444536820474</v>
      </c>
      <c r="AF19" s="176">
        <f t="shared" ref="AF19:AF55" si="18">_xlfn.STDEV.P(F19,H19,J19,L19,N19,P19,R19,T19,V19)</f>
        <v>2.9909039056511845E-4</v>
      </c>
      <c r="AG19" s="220">
        <f t="shared" ref="AG19:AG55" si="19">_xlfn.STDEV.P(G19,I19,K19,M19,O19,Q19,S19,U19,W19)</f>
        <v>3.8328018942005888E-2</v>
      </c>
      <c r="AH19" s="174"/>
      <c r="AI19" s="173">
        <f t="shared" ref="AI19:AI55" si="20">AE19/SUM(AE$19:AE$62)</f>
        <v>0.16844993386644319</v>
      </c>
    </row>
    <row r="20" spans="1:35" x14ac:dyDescent="0.35">
      <c r="A20" s="25" t="s">
        <v>143</v>
      </c>
      <c r="B20" s="225">
        <f>12.0107*6+1.00794*14</f>
        <v>86.175359999999998</v>
      </c>
      <c r="C20" s="505"/>
      <c r="D20" s="238">
        <v>1.0020000000000001E-3</v>
      </c>
      <c r="E20" s="224">
        <f t="shared" si="0"/>
        <v>0.6561886051080551</v>
      </c>
      <c r="F20" s="222">
        <v>1.122E-3</v>
      </c>
      <c r="G20" s="49">
        <f t="shared" si="1"/>
        <v>0.29856306546035127</v>
      </c>
      <c r="H20" s="113">
        <v>0</v>
      </c>
      <c r="I20" s="221">
        <f t="shared" si="2"/>
        <v>0</v>
      </c>
      <c r="J20" s="113">
        <v>0</v>
      </c>
      <c r="K20" s="49">
        <f t="shared" si="3"/>
        <v>0</v>
      </c>
      <c r="L20" s="237">
        <v>1.0020000000000001E-3</v>
      </c>
      <c r="M20" s="49">
        <f t="shared" si="4"/>
        <v>0.6561886051080551</v>
      </c>
      <c r="N20" s="222">
        <v>2.055E-3</v>
      </c>
      <c r="O20" s="221">
        <f t="shared" si="5"/>
        <v>0.63819875776397517</v>
      </c>
      <c r="P20" s="222">
        <v>1.31E-3</v>
      </c>
      <c r="Q20" s="221">
        <f t="shared" si="6"/>
        <v>0.63871282301316445</v>
      </c>
      <c r="R20" s="222">
        <v>1.9239999999999999E-3</v>
      </c>
      <c r="S20" s="221">
        <f t="shared" si="7"/>
        <v>0.51197445449707291</v>
      </c>
      <c r="T20" s="222">
        <v>4.5009999999999998E-3</v>
      </c>
      <c r="U20" s="221">
        <f t="shared" si="8"/>
        <v>0.63853028798411127</v>
      </c>
      <c r="V20" s="222">
        <v>1.6930000000000001E-3</v>
      </c>
      <c r="W20" s="221">
        <f t="shared" si="9"/>
        <v>0.63838612368024139</v>
      </c>
      <c r="X20" s="171">
        <f t="shared" si="10"/>
        <v>0</v>
      </c>
      <c r="Y20" s="172">
        <f t="shared" si="11"/>
        <v>0</v>
      </c>
      <c r="Z20" s="171">
        <f t="shared" si="12"/>
        <v>4.5009999999999998E-3</v>
      </c>
      <c r="AA20" s="170">
        <f t="shared" si="13"/>
        <v>0.6561886051080551</v>
      </c>
      <c r="AB20" s="171">
        <f t="shared" si="14"/>
        <v>1.31E-3</v>
      </c>
      <c r="AC20" s="170">
        <f t="shared" si="15"/>
        <v>0.63819875776397517</v>
      </c>
      <c r="AD20" s="171">
        <f t="shared" si="16"/>
        <v>1.511888888888889E-3</v>
      </c>
      <c r="AE20" s="170">
        <f t="shared" si="17"/>
        <v>0.44672823527855243</v>
      </c>
      <c r="AF20" s="176">
        <f t="shared" si="18"/>
        <v>1.2674018431810667E-3</v>
      </c>
      <c r="AG20" s="220">
        <f t="shared" si="19"/>
        <v>0.26167318083313795</v>
      </c>
      <c r="AH20" s="174"/>
      <c r="AI20" s="173">
        <f t="shared" si="20"/>
        <v>0.45677617672142218</v>
      </c>
    </row>
    <row r="21" spans="1:35" x14ac:dyDescent="0.35">
      <c r="A21" s="229" t="s">
        <v>152</v>
      </c>
      <c r="B21" s="225">
        <f>12.0107*6+1.00794*6</f>
        <v>78.111840000000001</v>
      </c>
      <c r="C21" s="505"/>
      <c r="D21" s="238">
        <v>5.1999999999999997E-5</v>
      </c>
      <c r="E21" s="224">
        <f t="shared" si="0"/>
        <v>3.4053700065487885E-2</v>
      </c>
      <c r="F21" s="222">
        <v>1.5999999999999999E-5</v>
      </c>
      <c r="G21" s="49">
        <f t="shared" si="1"/>
        <v>4.2575838211814801E-3</v>
      </c>
      <c r="H21" s="114">
        <v>0</v>
      </c>
      <c r="I21" s="221">
        <f t="shared" si="2"/>
        <v>0</v>
      </c>
      <c r="J21" s="114">
        <v>0</v>
      </c>
      <c r="K21" s="49">
        <f t="shared" si="3"/>
        <v>0</v>
      </c>
      <c r="L21" s="237">
        <v>5.1999999999999997E-5</v>
      </c>
      <c r="M21" s="49">
        <f t="shared" si="4"/>
        <v>3.4053700065487885E-2</v>
      </c>
      <c r="N21" s="222">
        <v>1.07E-4</v>
      </c>
      <c r="O21" s="221">
        <f t="shared" si="5"/>
        <v>3.3229813664596278E-2</v>
      </c>
      <c r="P21" s="222">
        <v>6.7999999999999999E-5</v>
      </c>
      <c r="Q21" s="221">
        <f t="shared" si="6"/>
        <v>3.3154558751828385E-2</v>
      </c>
      <c r="R21" s="222">
        <v>1E-4</v>
      </c>
      <c r="S21" s="221">
        <f t="shared" si="7"/>
        <v>2.6609898882384252E-2</v>
      </c>
      <c r="T21" s="222">
        <v>2.33E-4</v>
      </c>
      <c r="U21" s="221">
        <f t="shared" si="8"/>
        <v>3.3054333948077746E-2</v>
      </c>
      <c r="V21" s="222">
        <v>8.7999999999999998E-5</v>
      </c>
      <c r="W21" s="221">
        <f t="shared" si="9"/>
        <v>3.3182503770739065E-2</v>
      </c>
      <c r="X21" s="171">
        <f t="shared" si="10"/>
        <v>0</v>
      </c>
      <c r="Y21" s="172">
        <f t="shared" si="11"/>
        <v>0</v>
      </c>
      <c r="Z21" s="171">
        <f t="shared" si="12"/>
        <v>2.33E-4</v>
      </c>
      <c r="AA21" s="170">
        <f t="shared" si="13"/>
        <v>3.4053700065487885E-2</v>
      </c>
      <c r="AB21" s="171">
        <f t="shared" si="14"/>
        <v>6.7999999999999999E-5</v>
      </c>
      <c r="AC21" s="170">
        <f t="shared" si="15"/>
        <v>3.3054333948077746E-2</v>
      </c>
      <c r="AD21" s="171">
        <f t="shared" si="16"/>
        <v>7.3777777777777779E-5</v>
      </c>
      <c r="AE21" s="170">
        <f t="shared" si="17"/>
        <v>2.1949154767143896E-2</v>
      </c>
      <c r="AF21" s="176">
        <f t="shared" si="18"/>
        <v>6.8376048076920074E-5</v>
      </c>
      <c r="AG21" s="220">
        <f t="shared" si="19"/>
        <v>1.4708623710846101E-2</v>
      </c>
      <c r="AH21" s="174"/>
      <c r="AI21" s="173">
        <f t="shared" si="20"/>
        <v>2.2442841542243817E-2</v>
      </c>
    </row>
    <row r="22" spans="1:35" x14ac:dyDescent="0.35">
      <c r="A22" s="25" t="s">
        <v>142</v>
      </c>
      <c r="B22" s="225">
        <f>12.0107*6+1.00794*12</f>
        <v>84.159480000000002</v>
      </c>
      <c r="C22" s="505"/>
      <c r="D22" s="216">
        <v>0</v>
      </c>
      <c r="E22" s="224">
        <f t="shared" si="0"/>
        <v>0</v>
      </c>
      <c r="F22" s="222">
        <v>6.9999999999999994E-5</v>
      </c>
      <c r="G22" s="49">
        <f t="shared" si="1"/>
        <v>1.8626929217668974E-2</v>
      </c>
      <c r="H22" s="114">
        <v>0</v>
      </c>
      <c r="I22" s="221">
        <f t="shared" si="2"/>
        <v>0</v>
      </c>
      <c r="J22" s="114">
        <v>0</v>
      </c>
      <c r="K22" s="49">
        <f t="shared" si="3"/>
        <v>0</v>
      </c>
      <c r="L22" s="223">
        <v>0</v>
      </c>
      <c r="M22" s="49">
        <f t="shared" si="4"/>
        <v>0</v>
      </c>
      <c r="N22" s="222">
        <v>0</v>
      </c>
      <c r="O22" s="221">
        <f t="shared" si="5"/>
        <v>0</v>
      </c>
      <c r="P22" s="113">
        <v>0</v>
      </c>
      <c r="Q22" s="221">
        <f t="shared" si="6"/>
        <v>0</v>
      </c>
      <c r="R22" s="113">
        <v>0</v>
      </c>
      <c r="S22" s="221">
        <f t="shared" si="7"/>
        <v>0</v>
      </c>
      <c r="T22" s="113">
        <v>0</v>
      </c>
      <c r="U22" s="221">
        <f t="shared" si="8"/>
        <v>0</v>
      </c>
      <c r="V22" s="113">
        <v>0</v>
      </c>
      <c r="W22" s="221">
        <f t="shared" si="9"/>
        <v>0</v>
      </c>
      <c r="X22" s="171">
        <f t="shared" si="10"/>
        <v>0</v>
      </c>
      <c r="Y22" s="172">
        <f t="shared" si="11"/>
        <v>0</v>
      </c>
      <c r="Z22" s="171">
        <f t="shared" si="12"/>
        <v>6.9999999999999994E-5</v>
      </c>
      <c r="AA22" s="170">
        <f t="shared" si="13"/>
        <v>1.8626929217668974E-2</v>
      </c>
      <c r="AB22" s="171">
        <f t="shared" si="14"/>
        <v>0</v>
      </c>
      <c r="AC22" s="170">
        <f t="shared" si="15"/>
        <v>0</v>
      </c>
      <c r="AD22" s="171">
        <f t="shared" si="16"/>
        <v>7.7777777777777775E-6</v>
      </c>
      <c r="AE22" s="170">
        <f t="shared" si="17"/>
        <v>2.0696588019632192E-3</v>
      </c>
      <c r="AF22" s="176">
        <f t="shared" si="18"/>
        <v>2.1998877636914814E-5</v>
      </c>
      <c r="AG22" s="220">
        <f t="shared" si="19"/>
        <v>5.8538790944424731E-3</v>
      </c>
      <c r="AH22" s="174"/>
      <c r="AI22" s="173">
        <f t="shared" si="20"/>
        <v>2.1162101699014452E-3</v>
      </c>
    </row>
    <row r="23" spans="1:35" hidden="1" x14ac:dyDescent="0.35">
      <c r="A23" s="25" t="s">
        <v>141</v>
      </c>
      <c r="B23" s="225">
        <f>12.0107*6+1.00794*12</f>
        <v>84.159480000000002</v>
      </c>
      <c r="C23" s="505"/>
      <c r="D23" s="216">
        <v>0</v>
      </c>
      <c r="E23" s="224">
        <f t="shared" si="0"/>
        <v>0</v>
      </c>
      <c r="F23" s="113">
        <v>0</v>
      </c>
      <c r="G23" s="49">
        <f t="shared" si="1"/>
        <v>0</v>
      </c>
      <c r="H23" s="114">
        <v>0</v>
      </c>
      <c r="I23" s="221">
        <f t="shared" si="2"/>
        <v>0</v>
      </c>
      <c r="J23" s="114">
        <v>0</v>
      </c>
      <c r="K23" s="49">
        <f t="shared" si="3"/>
        <v>0</v>
      </c>
      <c r="L23" s="223">
        <v>0</v>
      </c>
      <c r="M23" s="49">
        <f t="shared" si="4"/>
        <v>0</v>
      </c>
      <c r="N23" s="113">
        <v>0</v>
      </c>
      <c r="O23" s="221">
        <f t="shared" si="5"/>
        <v>0</v>
      </c>
      <c r="P23" s="113">
        <v>0</v>
      </c>
      <c r="Q23" s="221">
        <f t="shared" si="6"/>
        <v>0</v>
      </c>
      <c r="R23" s="113">
        <v>0</v>
      </c>
      <c r="S23" s="221">
        <f t="shared" si="7"/>
        <v>0</v>
      </c>
      <c r="T23" s="113">
        <v>0</v>
      </c>
      <c r="U23" s="221">
        <f t="shared" si="8"/>
        <v>0</v>
      </c>
      <c r="V23" s="113">
        <v>0</v>
      </c>
      <c r="W23" s="221">
        <f t="shared" si="9"/>
        <v>0</v>
      </c>
      <c r="X23" s="171">
        <f t="shared" si="10"/>
        <v>0</v>
      </c>
      <c r="Y23" s="172">
        <f t="shared" si="11"/>
        <v>0</v>
      </c>
      <c r="Z23" s="171">
        <f t="shared" si="12"/>
        <v>0</v>
      </c>
      <c r="AA23" s="170">
        <f t="shared" si="13"/>
        <v>0</v>
      </c>
      <c r="AB23" s="171">
        <f t="shared" si="14"/>
        <v>0</v>
      </c>
      <c r="AC23" s="170">
        <f t="shared" si="15"/>
        <v>0</v>
      </c>
      <c r="AD23" s="171">
        <f t="shared" si="16"/>
        <v>0</v>
      </c>
      <c r="AE23" s="170">
        <f t="shared" si="17"/>
        <v>0</v>
      </c>
      <c r="AF23" s="176">
        <f t="shared" si="18"/>
        <v>0</v>
      </c>
      <c r="AG23" s="220">
        <f t="shared" si="19"/>
        <v>0</v>
      </c>
      <c r="AH23" s="174"/>
      <c r="AI23" s="173">
        <f t="shared" si="20"/>
        <v>0</v>
      </c>
    </row>
    <row r="24" spans="1:35" x14ac:dyDescent="0.35">
      <c r="A24" s="25" t="s">
        <v>328</v>
      </c>
      <c r="B24" s="225">
        <f>12.0107*6+1.00794*12</f>
        <v>84.159480000000002</v>
      </c>
      <c r="C24" s="505"/>
      <c r="D24" s="216">
        <v>0</v>
      </c>
      <c r="E24" s="224">
        <f t="shared" si="0"/>
        <v>0</v>
      </c>
      <c r="F24" s="113">
        <v>0</v>
      </c>
      <c r="G24" s="49">
        <f t="shared" si="1"/>
        <v>0</v>
      </c>
      <c r="H24" s="114">
        <v>9.0000000000000002E-6</v>
      </c>
      <c r="I24" s="221">
        <f t="shared" si="2"/>
        <v>0.32142857142857145</v>
      </c>
      <c r="J24" s="114">
        <v>0</v>
      </c>
      <c r="K24" s="49">
        <f t="shared" si="3"/>
        <v>0</v>
      </c>
      <c r="L24" s="223">
        <v>0</v>
      </c>
      <c r="M24" s="49">
        <f t="shared" si="4"/>
        <v>0</v>
      </c>
      <c r="N24" s="113">
        <v>0</v>
      </c>
      <c r="O24" s="221">
        <f t="shared" si="5"/>
        <v>0</v>
      </c>
      <c r="P24" s="113">
        <v>0</v>
      </c>
      <c r="Q24" s="221">
        <f t="shared" si="6"/>
        <v>0</v>
      </c>
      <c r="R24" s="113">
        <v>0</v>
      </c>
      <c r="S24" s="221">
        <f t="shared" si="7"/>
        <v>0</v>
      </c>
      <c r="T24" s="113">
        <v>0</v>
      </c>
      <c r="U24" s="221">
        <f t="shared" si="8"/>
        <v>0</v>
      </c>
      <c r="V24" s="113">
        <v>0</v>
      </c>
      <c r="W24" s="221">
        <f t="shared" si="9"/>
        <v>0</v>
      </c>
      <c r="X24" s="171">
        <f t="shared" si="10"/>
        <v>0</v>
      </c>
      <c r="Y24" s="172">
        <f t="shared" si="11"/>
        <v>0</v>
      </c>
      <c r="Z24" s="171">
        <f t="shared" si="12"/>
        <v>9.0000000000000002E-6</v>
      </c>
      <c r="AA24" s="170">
        <f t="shared" si="13"/>
        <v>0.32142857142857145</v>
      </c>
      <c r="AB24" s="171">
        <f t="shared" si="14"/>
        <v>0</v>
      </c>
      <c r="AC24" s="170">
        <f t="shared" si="15"/>
        <v>0</v>
      </c>
      <c r="AD24" s="171">
        <f t="shared" si="16"/>
        <v>9.9999999999999995E-7</v>
      </c>
      <c r="AE24" s="170">
        <f t="shared" si="17"/>
        <v>3.5714285714285719E-2</v>
      </c>
      <c r="AF24" s="176">
        <f t="shared" si="18"/>
        <v>2.8284271247461895E-6</v>
      </c>
      <c r="AG24" s="220">
        <f t="shared" si="19"/>
        <v>0.10101525445522108</v>
      </c>
      <c r="AH24" s="174"/>
      <c r="AI24" s="173">
        <f t="shared" si="20"/>
        <v>3.6517581819595253E-2</v>
      </c>
    </row>
    <row r="25" spans="1:35" x14ac:dyDescent="0.35">
      <c r="A25" s="25" t="s">
        <v>327</v>
      </c>
      <c r="B25" s="225">
        <f>12.0107*6+1.00794*12</f>
        <v>84.159480000000002</v>
      </c>
      <c r="C25" s="505"/>
      <c r="D25" s="216">
        <v>0</v>
      </c>
      <c r="E25" s="224">
        <f t="shared" si="0"/>
        <v>0</v>
      </c>
      <c r="F25" s="113">
        <v>0</v>
      </c>
      <c r="G25" s="49">
        <f t="shared" si="1"/>
        <v>0</v>
      </c>
      <c r="H25" s="114">
        <v>6.0000000000000002E-6</v>
      </c>
      <c r="I25" s="221">
        <f t="shared" si="2"/>
        <v>0.2142857142857143</v>
      </c>
      <c r="J25" s="114">
        <v>3.0000000000000001E-6</v>
      </c>
      <c r="K25" s="49">
        <f t="shared" si="3"/>
        <v>0.21428571428571433</v>
      </c>
      <c r="L25" s="223">
        <v>0</v>
      </c>
      <c r="M25" s="49">
        <f t="shared" si="4"/>
        <v>0</v>
      </c>
      <c r="N25" s="113">
        <v>0</v>
      </c>
      <c r="O25" s="221">
        <f t="shared" si="5"/>
        <v>0</v>
      </c>
      <c r="P25" s="113">
        <v>0</v>
      </c>
      <c r="Q25" s="221">
        <f t="shared" si="6"/>
        <v>0</v>
      </c>
      <c r="R25" s="113">
        <v>0</v>
      </c>
      <c r="S25" s="221">
        <f t="shared" si="7"/>
        <v>0</v>
      </c>
      <c r="T25" s="113">
        <v>0</v>
      </c>
      <c r="U25" s="221">
        <f t="shared" si="8"/>
        <v>0</v>
      </c>
      <c r="V25" s="113">
        <v>0</v>
      </c>
      <c r="W25" s="221">
        <f t="shared" si="9"/>
        <v>0</v>
      </c>
      <c r="X25" s="171">
        <f t="shared" si="10"/>
        <v>0</v>
      </c>
      <c r="Y25" s="172">
        <f t="shared" si="11"/>
        <v>0</v>
      </c>
      <c r="Z25" s="171">
        <f t="shared" si="12"/>
        <v>6.0000000000000002E-6</v>
      </c>
      <c r="AA25" s="170">
        <f t="shared" si="13"/>
        <v>0.21428571428571433</v>
      </c>
      <c r="AB25" s="171">
        <f t="shared" si="14"/>
        <v>0</v>
      </c>
      <c r="AC25" s="170">
        <f t="shared" si="15"/>
        <v>0</v>
      </c>
      <c r="AD25" s="171">
        <f t="shared" si="16"/>
        <v>9.9999999999999995E-7</v>
      </c>
      <c r="AE25" s="170">
        <f t="shared" si="17"/>
        <v>4.7619047619047623E-2</v>
      </c>
      <c r="AF25" s="176">
        <f t="shared" si="18"/>
        <v>2.0000000000000008E-6</v>
      </c>
      <c r="AG25" s="220">
        <f t="shared" si="19"/>
        <v>8.9087080637474808E-2</v>
      </c>
      <c r="AH25" s="174"/>
      <c r="AI25" s="173">
        <f t="shared" si="20"/>
        <v>4.8690109092793671E-2</v>
      </c>
    </row>
    <row r="26" spans="1:35" x14ac:dyDescent="0.35">
      <c r="A26" s="25" t="s">
        <v>326</v>
      </c>
      <c r="B26" s="225">
        <f>12.0107*6+1.00794*14</f>
        <v>86.175359999999998</v>
      </c>
      <c r="C26" s="505"/>
      <c r="D26" s="216">
        <v>0</v>
      </c>
      <c r="E26" s="224">
        <f t="shared" si="0"/>
        <v>0</v>
      </c>
      <c r="F26" s="113">
        <v>0</v>
      </c>
      <c r="G26" s="49">
        <f t="shared" si="1"/>
        <v>0</v>
      </c>
      <c r="H26" s="114">
        <v>3.9999999999999998E-6</v>
      </c>
      <c r="I26" s="221">
        <f t="shared" si="2"/>
        <v>0.14285714285714285</v>
      </c>
      <c r="J26" s="114">
        <v>0</v>
      </c>
      <c r="K26" s="49">
        <f t="shared" si="3"/>
        <v>0</v>
      </c>
      <c r="L26" s="223">
        <v>0</v>
      </c>
      <c r="M26" s="49">
        <f t="shared" si="4"/>
        <v>0</v>
      </c>
      <c r="N26" s="113">
        <v>0</v>
      </c>
      <c r="O26" s="221">
        <f t="shared" si="5"/>
        <v>0</v>
      </c>
      <c r="P26" s="113">
        <v>0</v>
      </c>
      <c r="Q26" s="221">
        <f t="shared" si="6"/>
        <v>0</v>
      </c>
      <c r="R26" s="113">
        <v>0</v>
      </c>
      <c r="S26" s="221">
        <f t="shared" si="7"/>
        <v>0</v>
      </c>
      <c r="T26" s="113">
        <v>0</v>
      </c>
      <c r="U26" s="221">
        <f t="shared" si="8"/>
        <v>0</v>
      </c>
      <c r="V26" s="113">
        <v>0</v>
      </c>
      <c r="W26" s="221">
        <f t="shared" si="9"/>
        <v>0</v>
      </c>
      <c r="X26" s="171">
        <f t="shared" si="10"/>
        <v>0</v>
      </c>
      <c r="Y26" s="172">
        <f t="shared" si="11"/>
        <v>0</v>
      </c>
      <c r="Z26" s="171">
        <f t="shared" si="12"/>
        <v>3.9999999999999998E-6</v>
      </c>
      <c r="AA26" s="170">
        <f t="shared" si="13"/>
        <v>0.14285714285714285</v>
      </c>
      <c r="AB26" s="171">
        <f t="shared" si="14"/>
        <v>0</v>
      </c>
      <c r="AC26" s="170">
        <f t="shared" si="15"/>
        <v>0</v>
      </c>
      <c r="AD26" s="171">
        <f t="shared" si="16"/>
        <v>4.4444444444444444E-7</v>
      </c>
      <c r="AE26" s="170">
        <f t="shared" si="17"/>
        <v>1.5873015873015872E-2</v>
      </c>
      <c r="AF26" s="176">
        <f t="shared" si="18"/>
        <v>1.2570787221094177E-6</v>
      </c>
      <c r="AG26" s="220">
        <f t="shared" si="19"/>
        <v>4.4895668646764919E-2</v>
      </c>
      <c r="AH26" s="174"/>
      <c r="AI26" s="173">
        <f t="shared" si="20"/>
        <v>1.6230036364264556E-2</v>
      </c>
    </row>
    <row r="27" spans="1:35" ht="15" thickBot="1" x14ac:dyDescent="0.4">
      <c r="A27" s="27" t="s">
        <v>325</v>
      </c>
      <c r="B27" s="210">
        <f>12.0107*6+1.00794*14</f>
        <v>86.175359999999998</v>
      </c>
      <c r="C27" s="505"/>
      <c r="D27" s="206">
        <v>0</v>
      </c>
      <c r="E27" s="235">
        <f t="shared" si="0"/>
        <v>0</v>
      </c>
      <c r="F27" s="205">
        <v>0</v>
      </c>
      <c r="G27" s="62">
        <f t="shared" si="1"/>
        <v>0</v>
      </c>
      <c r="H27" s="208">
        <v>1.9999999999999999E-6</v>
      </c>
      <c r="I27" s="64">
        <f t="shared" si="2"/>
        <v>7.1428571428571425E-2</v>
      </c>
      <c r="J27" s="208">
        <v>0</v>
      </c>
      <c r="K27" s="62">
        <f t="shared" si="3"/>
        <v>0</v>
      </c>
      <c r="L27" s="234">
        <v>0</v>
      </c>
      <c r="M27" s="62">
        <f t="shared" si="4"/>
        <v>0</v>
      </c>
      <c r="N27" s="205">
        <v>0</v>
      </c>
      <c r="O27" s="64">
        <f t="shared" si="5"/>
        <v>0</v>
      </c>
      <c r="P27" s="205">
        <v>0</v>
      </c>
      <c r="Q27" s="64">
        <f t="shared" si="6"/>
        <v>0</v>
      </c>
      <c r="R27" s="205">
        <v>0</v>
      </c>
      <c r="S27" s="64">
        <f t="shared" si="7"/>
        <v>0</v>
      </c>
      <c r="T27" s="205">
        <v>0</v>
      </c>
      <c r="U27" s="64">
        <f t="shared" si="8"/>
        <v>0</v>
      </c>
      <c r="V27" s="205">
        <v>0</v>
      </c>
      <c r="W27" s="64">
        <f t="shared" si="9"/>
        <v>0</v>
      </c>
      <c r="X27" s="171">
        <f t="shared" si="10"/>
        <v>0</v>
      </c>
      <c r="Y27" s="172">
        <f t="shared" si="11"/>
        <v>0</v>
      </c>
      <c r="Z27" s="171">
        <f t="shared" si="12"/>
        <v>1.9999999999999999E-6</v>
      </c>
      <c r="AA27" s="170">
        <f t="shared" si="13"/>
        <v>7.1428571428571425E-2</v>
      </c>
      <c r="AB27" s="171">
        <f t="shared" si="14"/>
        <v>0</v>
      </c>
      <c r="AC27" s="170">
        <f t="shared" si="15"/>
        <v>0</v>
      </c>
      <c r="AD27" s="171">
        <f t="shared" si="16"/>
        <v>2.2222222222222222E-7</v>
      </c>
      <c r="AE27" s="170">
        <f t="shared" si="17"/>
        <v>7.9365079365079361E-3</v>
      </c>
      <c r="AF27" s="176">
        <f t="shared" si="18"/>
        <v>6.2853936105470885E-7</v>
      </c>
      <c r="AG27" s="220">
        <f t="shared" si="19"/>
        <v>2.244783432338246E-2</v>
      </c>
      <c r="AH27" s="174"/>
      <c r="AI27" s="173">
        <f t="shared" si="20"/>
        <v>8.1150181821322779E-3</v>
      </c>
    </row>
    <row r="28" spans="1:35" x14ac:dyDescent="0.35">
      <c r="A28" s="23" t="s">
        <v>199</v>
      </c>
      <c r="B28" s="214">
        <f>12.0107*7+1.00794*16</f>
        <v>100.20194000000001</v>
      </c>
      <c r="C28" s="505"/>
      <c r="D28" s="233">
        <v>1.08E-4</v>
      </c>
      <c r="E28" s="232">
        <f t="shared" si="0"/>
        <v>7.072691552062868E-2</v>
      </c>
      <c r="F28" s="212">
        <v>1.1540000000000001E-3</v>
      </c>
      <c r="G28" s="199">
        <f t="shared" si="1"/>
        <v>0.30707823310271426</v>
      </c>
      <c r="H28" s="212">
        <v>0</v>
      </c>
      <c r="I28" s="199">
        <f t="shared" si="2"/>
        <v>0</v>
      </c>
      <c r="J28" s="212">
        <v>0</v>
      </c>
      <c r="K28" s="103">
        <f t="shared" si="3"/>
        <v>0</v>
      </c>
      <c r="L28" s="231">
        <v>1.08E-4</v>
      </c>
      <c r="M28" s="199">
        <f t="shared" si="4"/>
        <v>7.072691552062868E-2</v>
      </c>
      <c r="N28" s="230">
        <v>2.2100000000000001E-4</v>
      </c>
      <c r="O28" s="199">
        <f t="shared" si="5"/>
        <v>6.8633540372670818E-2</v>
      </c>
      <c r="P28" s="230">
        <v>1.4100000000000001E-4</v>
      </c>
      <c r="Q28" s="199">
        <f t="shared" si="6"/>
        <v>6.8746952705997094E-2</v>
      </c>
      <c r="R28" s="230">
        <v>2.0699999999999999E-4</v>
      </c>
      <c r="S28" s="199">
        <f t="shared" si="7"/>
        <v>5.5082490686535396E-2</v>
      </c>
      <c r="T28" s="230">
        <v>4.84E-4</v>
      </c>
      <c r="U28" s="199">
        <f t="shared" si="8"/>
        <v>6.8662221591715145E-2</v>
      </c>
      <c r="V28" s="230">
        <v>1.8200000000000001E-4</v>
      </c>
      <c r="W28" s="199">
        <f t="shared" si="9"/>
        <v>6.8627450980392163E-2</v>
      </c>
      <c r="X28" s="171">
        <f t="shared" si="10"/>
        <v>0</v>
      </c>
      <c r="Y28" s="172">
        <f t="shared" si="11"/>
        <v>0</v>
      </c>
      <c r="Z28" s="171">
        <f t="shared" si="12"/>
        <v>1.1540000000000001E-3</v>
      </c>
      <c r="AA28" s="170">
        <f t="shared" si="13"/>
        <v>0.30707823310271426</v>
      </c>
      <c r="AB28" s="171">
        <f t="shared" si="14"/>
        <v>1.8200000000000001E-4</v>
      </c>
      <c r="AC28" s="170">
        <f t="shared" si="15"/>
        <v>6.8633540372670818E-2</v>
      </c>
      <c r="AD28" s="171">
        <f t="shared" si="16"/>
        <v>2.7744444444444447E-4</v>
      </c>
      <c r="AE28" s="170">
        <f t="shared" si="17"/>
        <v>7.8617533884517046E-2</v>
      </c>
      <c r="AF28" s="176">
        <f t="shared" si="18"/>
        <v>3.3822284275019737E-4</v>
      </c>
      <c r="AG28" s="220">
        <f t="shared" si="19"/>
        <v>8.5354100969272081E-2</v>
      </c>
      <c r="AH28" s="174"/>
      <c r="AI28" s="173">
        <f t="shared" si="20"/>
        <v>8.0385822330314285E-2</v>
      </c>
    </row>
    <row r="29" spans="1:35" x14ac:dyDescent="0.35">
      <c r="A29" s="229" t="s">
        <v>153</v>
      </c>
      <c r="B29" s="225">
        <f>12.0107*7+1.00794*8</f>
        <v>92.138419999999996</v>
      </c>
      <c r="C29" s="505"/>
      <c r="D29" s="227">
        <v>4.5000000000000003E-5</v>
      </c>
      <c r="E29" s="224">
        <f t="shared" si="0"/>
        <v>2.9469548133595289E-2</v>
      </c>
      <c r="F29" s="222">
        <v>7.6000000000000004E-5</v>
      </c>
      <c r="G29" s="221">
        <f t="shared" si="1"/>
        <v>2.022352315061203E-2</v>
      </c>
      <c r="H29" s="114">
        <v>0</v>
      </c>
      <c r="I29" s="221">
        <f t="shared" si="2"/>
        <v>0</v>
      </c>
      <c r="J29" s="114">
        <v>3.9999999999999998E-6</v>
      </c>
      <c r="K29" s="49">
        <f t="shared" si="3"/>
        <v>0.28571428571428575</v>
      </c>
      <c r="L29" s="226">
        <v>4.5000000000000003E-5</v>
      </c>
      <c r="M29" s="221">
        <f t="shared" si="4"/>
        <v>2.9469548133595289E-2</v>
      </c>
      <c r="N29" s="222">
        <v>9.2E-5</v>
      </c>
      <c r="O29" s="221">
        <f t="shared" si="5"/>
        <v>2.8571428571428574E-2</v>
      </c>
      <c r="P29" s="222">
        <v>5.8E-5</v>
      </c>
      <c r="Q29" s="221">
        <f t="shared" si="6"/>
        <v>2.827888834714774E-2</v>
      </c>
      <c r="R29" s="222">
        <v>8.6000000000000003E-5</v>
      </c>
      <c r="S29" s="221">
        <f t="shared" si="7"/>
        <v>2.2884513038850456E-2</v>
      </c>
      <c r="T29" s="222">
        <v>2.0100000000000001E-4</v>
      </c>
      <c r="U29" s="221">
        <f t="shared" si="8"/>
        <v>2.8514682933749473E-2</v>
      </c>
      <c r="V29" s="222">
        <v>7.6000000000000004E-5</v>
      </c>
      <c r="W29" s="221">
        <f t="shared" si="9"/>
        <v>2.8657616892911013E-2</v>
      </c>
      <c r="X29" s="171">
        <f t="shared" si="10"/>
        <v>0</v>
      </c>
      <c r="Y29" s="172">
        <f t="shared" si="11"/>
        <v>0</v>
      </c>
      <c r="Z29" s="171">
        <f t="shared" si="12"/>
        <v>2.0100000000000001E-4</v>
      </c>
      <c r="AA29" s="170">
        <f t="shared" si="13"/>
        <v>0.28571428571428575</v>
      </c>
      <c r="AB29" s="171">
        <f t="shared" si="14"/>
        <v>7.6000000000000004E-5</v>
      </c>
      <c r="AC29" s="170">
        <f t="shared" si="15"/>
        <v>2.8514682933749473E-2</v>
      </c>
      <c r="AD29" s="171">
        <f t="shared" si="16"/>
        <v>7.0888888888888889E-5</v>
      </c>
      <c r="AE29" s="170">
        <f t="shared" si="17"/>
        <v>5.2479387420286711E-2</v>
      </c>
      <c r="AF29" s="176">
        <f t="shared" si="18"/>
        <v>5.5768259480031278E-5</v>
      </c>
      <c r="AG29" s="220">
        <f t="shared" si="19"/>
        <v>8.2930621889993991E-2</v>
      </c>
      <c r="AH29" s="174"/>
      <c r="AI29" s="173">
        <f t="shared" si="20"/>
        <v>5.3659769070951616E-2</v>
      </c>
    </row>
    <row r="30" spans="1:35" ht="39.65" hidden="1" customHeight="1" thickBot="1" x14ac:dyDescent="0.4">
      <c r="A30" s="25" t="s">
        <v>144</v>
      </c>
      <c r="B30" s="225">
        <f>12.0107*7+1.00794*16</f>
        <v>100.20194000000001</v>
      </c>
      <c r="C30" s="505"/>
      <c r="D30" s="216">
        <v>0</v>
      </c>
      <c r="E30" s="224">
        <f t="shared" si="0"/>
        <v>0</v>
      </c>
      <c r="F30" s="113">
        <v>0</v>
      </c>
      <c r="G30" s="221">
        <f t="shared" si="1"/>
        <v>0</v>
      </c>
      <c r="H30" s="114">
        <v>0</v>
      </c>
      <c r="I30" s="221">
        <f t="shared" si="2"/>
        <v>0</v>
      </c>
      <c r="J30" s="114">
        <v>0</v>
      </c>
      <c r="K30" s="49">
        <f t="shared" si="3"/>
        <v>0</v>
      </c>
      <c r="L30" s="223">
        <v>0</v>
      </c>
      <c r="M30" s="221">
        <f t="shared" si="4"/>
        <v>0</v>
      </c>
      <c r="N30" s="113">
        <v>0</v>
      </c>
      <c r="O30" s="221">
        <f t="shared" si="5"/>
        <v>0</v>
      </c>
      <c r="P30" s="113">
        <v>0</v>
      </c>
      <c r="Q30" s="221">
        <f t="shared" si="6"/>
        <v>0</v>
      </c>
      <c r="R30" s="113">
        <v>0</v>
      </c>
      <c r="S30" s="221">
        <f t="shared" si="7"/>
        <v>0</v>
      </c>
      <c r="T30" s="113">
        <v>0</v>
      </c>
      <c r="U30" s="221">
        <f t="shared" si="8"/>
        <v>0</v>
      </c>
      <c r="V30" s="113">
        <v>0</v>
      </c>
      <c r="W30" s="221">
        <f t="shared" si="9"/>
        <v>0</v>
      </c>
      <c r="X30" s="171">
        <f t="shared" si="10"/>
        <v>0</v>
      </c>
      <c r="Y30" s="172">
        <f t="shared" si="11"/>
        <v>0</v>
      </c>
      <c r="Z30" s="171">
        <f t="shared" si="12"/>
        <v>0</v>
      </c>
      <c r="AA30" s="170">
        <f t="shared" si="13"/>
        <v>0</v>
      </c>
      <c r="AB30" s="171">
        <f t="shared" si="14"/>
        <v>0</v>
      </c>
      <c r="AC30" s="170">
        <f t="shared" si="15"/>
        <v>0</v>
      </c>
      <c r="AD30" s="171">
        <f t="shared" si="16"/>
        <v>0</v>
      </c>
      <c r="AE30" s="170">
        <f t="shared" si="17"/>
        <v>0</v>
      </c>
      <c r="AF30" s="176">
        <f t="shared" si="18"/>
        <v>0</v>
      </c>
      <c r="AG30" s="220">
        <f t="shared" si="19"/>
        <v>0</v>
      </c>
      <c r="AH30" s="174"/>
      <c r="AI30" s="173">
        <f t="shared" si="20"/>
        <v>0</v>
      </c>
    </row>
    <row r="31" spans="1:35" ht="39.65" hidden="1" customHeight="1" thickBot="1" x14ac:dyDescent="0.4">
      <c r="A31" s="25" t="s">
        <v>145</v>
      </c>
      <c r="B31" s="225">
        <f>12.0107*7+1.00794*16</f>
        <v>100.20194000000001</v>
      </c>
      <c r="C31" s="505"/>
      <c r="D31" s="216">
        <v>0</v>
      </c>
      <c r="E31" s="224">
        <f t="shared" si="0"/>
        <v>0</v>
      </c>
      <c r="F31" s="113">
        <v>0</v>
      </c>
      <c r="G31" s="221">
        <f t="shared" si="1"/>
        <v>0</v>
      </c>
      <c r="H31" s="114">
        <v>0</v>
      </c>
      <c r="I31" s="221">
        <f t="shared" si="2"/>
        <v>0</v>
      </c>
      <c r="J31" s="114">
        <v>0</v>
      </c>
      <c r="K31" s="49">
        <f t="shared" si="3"/>
        <v>0</v>
      </c>
      <c r="L31" s="223">
        <v>0</v>
      </c>
      <c r="M31" s="221">
        <f t="shared" si="4"/>
        <v>0</v>
      </c>
      <c r="N31" s="113">
        <v>0</v>
      </c>
      <c r="O31" s="221">
        <f t="shared" si="5"/>
        <v>0</v>
      </c>
      <c r="P31" s="113">
        <v>0</v>
      </c>
      <c r="Q31" s="221">
        <f t="shared" si="6"/>
        <v>0</v>
      </c>
      <c r="R31" s="113">
        <v>0</v>
      </c>
      <c r="S31" s="221">
        <f t="shared" si="7"/>
        <v>0</v>
      </c>
      <c r="T31" s="113">
        <v>0</v>
      </c>
      <c r="U31" s="221">
        <f t="shared" si="8"/>
        <v>0</v>
      </c>
      <c r="V31" s="113">
        <v>0</v>
      </c>
      <c r="W31" s="221">
        <f t="shared" si="9"/>
        <v>0</v>
      </c>
      <c r="X31" s="171">
        <f t="shared" si="10"/>
        <v>0</v>
      </c>
      <c r="Y31" s="172">
        <f t="shared" si="11"/>
        <v>0</v>
      </c>
      <c r="Z31" s="171">
        <f t="shared" si="12"/>
        <v>0</v>
      </c>
      <c r="AA31" s="170">
        <f t="shared" si="13"/>
        <v>0</v>
      </c>
      <c r="AB31" s="171">
        <f t="shared" si="14"/>
        <v>0</v>
      </c>
      <c r="AC31" s="170">
        <f t="shared" si="15"/>
        <v>0</v>
      </c>
      <c r="AD31" s="171">
        <f t="shared" si="16"/>
        <v>0</v>
      </c>
      <c r="AE31" s="170">
        <f t="shared" si="17"/>
        <v>0</v>
      </c>
      <c r="AF31" s="176">
        <f t="shared" si="18"/>
        <v>0</v>
      </c>
      <c r="AG31" s="220">
        <f t="shared" si="19"/>
        <v>0</v>
      </c>
      <c r="AH31" s="174"/>
      <c r="AI31" s="173">
        <f t="shared" si="20"/>
        <v>0</v>
      </c>
    </row>
    <row r="32" spans="1:35" ht="26.5" customHeight="1" thickBot="1" x14ac:dyDescent="0.4">
      <c r="A32" s="25" t="s">
        <v>149</v>
      </c>
      <c r="B32" s="236">
        <f>12.0107*7+1.00794*14</f>
        <v>98.186059999999998</v>
      </c>
      <c r="C32" s="505"/>
      <c r="D32" s="216">
        <v>0</v>
      </c>
      <c r="E32" s="224">
        <f t="shared" si="0"/>
        <v>0</v>
      </c>
      <c r="F32" s="133">
        <v>1.6000000000000001E-4</v>
      </c>
      <c r="G32" s="221">
        <f t="shared" si="1"/>
        <v>4.25758382118148E-2</v>
      </c>
      <c r="H32" s="114">
        <v>0</v>
      </c>
      <c r="I32" s="221">
        <f t="shared" si="2"/>
        <v>0</v>
      </c>
      <c r="J32" s="114">
        <v>1.9999999999999999E-6</v>
      </c>
      <c r="K32" s="49">
        <f t="shared" si="3"/>
        <v>0.14285714285714288</v>
      </c>
      <c r="L32" s="223">
        <v>0</v>
      </c>
      <c r="M32" s="221">
        <f t="shared" si="4"/>
        <v>0</v>
      </c>
      <c r="N32" s="113">
        <v>0</v>
      </c>
      <c r="O32" s="221">
        <f t="shared" si="5"/>
        <v>0</v>
      </c>
      <c r="P32" s="113">
        <v>0</v>
      </c>
      <c r="Q32" s="221">
        <f t="shared" si="6"/>
        <v>0</v>
      </c>
      <c r="R32" s="113">
        <v>0</v>
      </c>
      <c r="S32" s="221">
        <f t="shared" si="7"/>
        <v>0</v>
      </c>
      <c r="T32" s="113">
        <v>0</v>
      </c>
      <c r="U32" s="221">
        <f t="shared" si="8"/>
        <v>0</v>
      </c>
      <c r="V32" s="113">
        <v>0</v>
      </c>
      <c r="W32" s="221">
        <f t="shared" si="9"/>
        <v>0</v>
      </c>
      <c r="X32" s="171">
        <f t="shared" si="10"/>
        <v>0</v>
      </c>
      <c r="Y32" s="172">
        <f t="shared" si="11"/>
        <v>0</v>
      </c>
      <c r="Z32" s="171">
        <f t="shared" si="12"/>
        <v>1.6000000000000001E-4</v>
      </c>
      <c r="AA32" s="170">
        <f t="shared" si="13"/>
        <v>0.14285714285714288</v>
      </c>
      <c r="AB32" s="171">
        <f t="shared" si="14"/>
        <v>0</v>
      </c>
      <c r="AC32" s="170">
        <f t="shared" si="15"/>
        <v>0</v>
      </c>
      <c r="AD32" s="171">
        <f t="shared" si="16"/>
        <v>1.8E-5</v>
      </c>
      <c r="AE32" s="170">
        <f t="shared" si="17"/>
        <v>2.0603664563217518E-2</v>
      </c>
      <c r="AF32" s="176">
        <f t="shared" si="18"/>
        <v>5.0208454356700617E-5</v>
      </c>
      <c r="AG32" s="220">
        <f t="shared" si="19"/>
        <v>4.5215860447220271E-2</v>
      </c>
      <c r="AH32" s="174"/>
      <c r="AI32" s="173">
        <f t="shared" si="20"/>
        <v>2.1067088181182147E-2</v>
      </c>
    </row>
    <row r="33" spans="1:35" ht="39.65" hidden="1" customHeight="1" thickBot="1" x14ac:dyDescent="0.4">
      <c r="A33" s="25" t="s">
        <v>324</v>
      </c>
      <c r="B33" s="225">
        <f>12.0107*7+1.00794*16</f>
        <v>100.20194000000001</v>
      </c>
      <c r="C33" s="505"/>
      <c r="D33" s="216">
        <v>0</v>
      </c>
      <c r="E33" s="224">
        <f t="shared" si="0"/>
        <v>0</v>
      </c>
      <c r="F33" s="215">
        <v>0</v>
      </c>
      <c r="G33" s="199">
        <f t="shared" si="1"/>
        <v>0</v>
      </c>
      <c r="H33" s="114">
        <v>0</v>
      </c>
      <c r="I33" s="199">
        <f t="shared" si="2"/>
        <v>0</v>
      </c>
      <c r="J33" s="118">
        <v>0</v>
      </c>
      <c r="K33" s="103">
        <f t="shared" si="3"/>
        <v>0</v>
      </c>
      <c r="L33" s="223">
        <v>0</v>
      </c>
      <c r="M33" s="199">
        <f t="shared" si="4"/>
        <v>0</v>
      </c>
      <c r="N33" s="113">
        <v>0</v>
      </c>
      <c r="O33" s="199">
        <f t="shared" si="5"/>
        <v>0</v>
      </c>
      <c r="P33" s="113">
        <v>0</v>
      </c>
      <c r="Q33" s="199">
        <f t="shared" si="6"/>
        <v>0</v>
      </c>
      <c r="R33" s="113">
        <v>0</v>
      </c>
      <c r="S33" s="199">
        <f t="shared" si="7"/>
        <v>0</v>
      </c>
      <c r="T33" s="113">
        <v>0</v>
      </c>
      <c r="U33" s="199">
        <f t="shared" si="8"/>
        <v>0</v>
      </c>
      <c r="V33" s="113">
        <v>0</v>
      </c>
      <c r="W33" s="199">
        <f t="shared" si="9"/>
        <v>0</v>
      </c>
      <c r="X33" s="171">
        <f t="shared" si="10"/>
        <v>0</v>
      </c>
      <c r="Y33" s="172">
        <f t="shared" si="11"/>
        <v>0</v>
      </c>
      <c r="Z33" s="171">
        <f t="shared" si="12"/>
        <v>0</v>
      </c>
      <c r="AA33" s="170">
        <f t="shared" si="13"/>
        <v>0</v>
      </c>
      <c r="AB33" s="171">
        <f t="shared" si="14"/>
        <v>0</v>
      </c>
      <c r="AC33" s="170">
        <f t="shared" si="15"/>
        <v>0</v>
      </c>
      <c r="AD33" s="171">
        <f t="shared" si="16"/>
        <v>0</v>
      </c>
      <c r="AE33" s="170">
        <f t="shared" si="17"/>
        <v>0</v>
      </c>
      <c r="AF33" s="176">
        <f t="shared" si="18"/>
        <v>0</v>
      </c>
      <c r="AG33" s="220">
        <f t="shared" si="19"/>
        <v>0</v>
      </c>
      <c r="AH33" s="174"/>
      <c r="AI33" s="173">
        <f t="shared" si="20"/>
        <v>0</v>
      </c>
    </row>
    <row r="34" spans="1:35" ht="39.65" hidden="1" customHeight="1" thickBot="1" x14ac:dyDescent="0.4">
      <c r="A34" s="25" t="s">
        <v>323</v>
      </c>
      <c r="B34" s="225">
        <f>12.0107*7+1.00794*16</f>
        <v>100.20194000000001</v>
      </c>
      <c r="C34" s="505"/>
      <c r="D34" s="216">
        <v>0</v>
      </c>
      <c r="E34" s="224">
        <f t="shared" si="0"/>
        <v>0</v>
      </c>
      <c r="F34" s="215">
        <v>0</v>
      </c>
      <c r="G34" s="199">
        <f t="shared" si="1"/>
        <v>0</v>
      </c>
      <c r="H34" s="114">
        <v>0</v>
      </c>
      <c r="I34" s="199">
        <f t="shared" si="2"/>
        <v>0</v>
      </c>
      <c r="J34" s="118">
        <v>0</v>
      </c>
      <c r="K34" s="103">
        <f t="shared" si="3"/>
        <v>0</v>
      </c>
      <c r="L34" s="223">
        <v>0</v>
      </c>
      <c r="M34" s="199">
        <f t="shared" si="4"/>
        <v>0</v>
      </c>
      <c r="N34" s="113">
        <v>0</v>
      </c>
      <c r="O34" s="199">
        <f t="shared" si="5"/>
        <v>0</v>
      </c>
      <c r="P34" s="113">
        <v>0</v>
      </c>
      <c r="Q34" s="199">
        <f t="shared" si="6"/>
        <v>0</v>
      </c>
      <c r="R34" s="113">
        <v>0</v>
      </c>
      <c r="S34" s="199">
        <f t="shared" si="7"/>
        <v>0</v>
      </c>
      <c r="T34" s="113">
        <v>0</v>
      </c>
      <c r="U34" s="199">
        <f t="shared" si="8"/>
        <v>0</v>
      </c>
      <c r="V34" s="113">
        <v>0</v>
      </c>
      <c r="W34" s="199">
        <f t="shared" si="9"/>
        <v>0</v>
      </c>
      <c r="X34" s="171">
        <f t="shared" si="10"/>
        <v>0</v>
      </c>
      <c r="Y34" s="172">
        <f t="shared" si="11"/>
        <v>0</v>
      </c>
      <c r="Z34" s="171">
        <f t="shared" si="12"/>
        <v>0</v>
      </c>
      <c r="AA34" s="170">
        <f t="shared" si="13"/>
        <v>0</v>
      </c>
      <c r="AB34" s="171">
        <f t="shared" si="14"/>
        <v>0</v>
      </c>
      <c r="AC34" s="170">
        <f t="shared" si="15"/>
        <v>0</v>
      </c>
      <c r="AD34" s="171">
        <f t="shared" si="16"/>
        <v>0</v>
      </c>
      <c r="AE34" s="170">
        <f t="shared" si="17"/>
        <v>0</v>
      </c>
      <c r="AF34" s="176">
        <f t="shared" si="18"/>
        <v>0</v>
      </c>
      <c r="AG34" s="220">
        <f t="shared" si="19"/>
        <v>0</v>
      </c>
      <c r="AH34" s="174"/>
      <c r="AI34" s="173">
        <f t="shared" si="20"/>
        <v>0</v>
      </c>
    </row>
    <row r="35" spans="1:35" ht="39.65" hidden="1" customHeight="1" thickBot="1" x14ac:dyDescent="0.4">
      <c r="A35" s="25" t="s">
        <v>322</v>
      </c>
      <c r="B35" s="225">
        <f>12.0107*7+1.00794*16</f>
        <v>100.20194000000001</v>
      </c>
      <c r="C35" s="505"/>
      <c r="D35" s="216">
        <v>0</v>
      </c>
      <c r="E35" s="224">
        <f t="shared" si="0"/>
        <v>0</v>
      </c>
      <c r="F35" s="215">
        <v>0</v>
      </c>
      <c r="G35" s="199">
        <f t="shared" si="1"/>
        <v>0</v>
      </c>
      <c r="H35" s="114">
        <v>0</v>
      </c>
      <c r="I35" s="199">
        <f t="shared" si="2"/>
        <v>0</v>
      </c>
      <c r="J35" s="118">
        <v>0</v>
      </c>
      <c r="K35" s="103">
        <f t="shared" si="3"/>
        <v>0</v>
      </c>
      <c r="L35" s="223">
        <v>0</v>
      </c>
      <c r="M35" s="199">
        <f t="shared" si="4"/>
        <v>0</v>
      </c>
      <c r="N35" s="113">
        <v>0</v>
      </c>
      <c r="O35" s="199">
        <f t="shared" si="5"/>
        <v>0</v>
      </c>
      <c r="P35" s="113">
        <v>0</v>
      </c>
      <c r="Q35" s="199">
        <f t="shared" si="6"/>
        <v>0</v>
      </c>
      <c r="R35" s="113">
        <v>0</v>
      </c>
      <c r="S35" s="199">
        <f t="shared" si="7"/>
        <v>0</v>
      </c>
      <c r="T35" s="113">
        <v>0</v>
      </c>
      <c r="U35" s="199">
        <f t="shared" si="8"/>
        <v>0</v>
      </c>
      <c r="V35" s="113">
        <v>0</v>
      </c>
      <c r="W35" s="199">
        <f t="shared" si="9"/>
        <v>0</v>
      </c>
      <c r="X35" s="171">
        <f t="shared" si="10"/>
        <v>0</v>
      </c>
      <c r="Y35" s="172">
        <f t="shared" si="11"/>
        <v>0</v>
      </c>
      <c r="Z35" s="171">
        <f t="shared" si="12"/>
        <v>0</v>
      </c>
      <c r="AA35" s="170">
        <f t="shared" si="13"/>
        <v>0</v>
      </c>
      <c r="AB35" s="171">
        <f t="shared" si="14"/>
        <v>0</v>
      </c>
      <c r="AC35" s="170">
        <f t="shared" si="15"/>
        <v>0</v>
      </c>
      <c r="AD35" s="171">
        <f t="shared" si="16"/>
        <v>0</v>
      </c>
      <c r="AE35" s="170">
        <f t="shared" si="17"/>
        <v>0</v>
      </c>
      <c r="AF35" s="176">
        <f t="shared" si="18"/>
        <v>0</v>
      </c>
      <c r="AG35" s="220">
        <f t="shared" si="19"/>
        <v>0</v>
      </c>
      <c r="AH35" s="174"/>
      <c r="AI35" s="173">
        <f t="shared" si="20"/>
        <v>0</v>
      </c>
    </row>
    <row r="36" spans="1:35" ht="39.65" hidden="1" customHeight="1" thickBot="1" x14ac:dyDescent="0.4">
      <c r="A36" s="25" t="s">
        <v>321</v>
      </c>
      <c r="B36" s="225">
        <f>12.0107*7+1.00794*14</f>
        <v>98.186059999999998</v>
      </c>
      <c r="C36" s="505"/>
      <c r="D36" s="216">
        <v>0</v>
      </c>
      <c r="E36" s="224">
        <f t="shared" si="0"/>
        <v>0</v>
      </c>
      <c r="F36" s="215">
        <v>0</v>
      </c>
      <c r="G36" s="199">
        <f t="shared" si="1"/>
        <v>0</v>
      </c>
      <c r="H36" s="114">
        <v>0</v>
      </c>
      <c r="I36" s="199">
        <f t="shared" si="2"/>
        <v>0</v>
      </c>
      <c r="J36" s="118">
        <v>0</v>
      </c>
      <c r="K36" s="103">
        <f t="shared" si="3"/>
        <v>0</v>
      </c>
      <c r="L36" s="223">
        <v>0</v>
      </c>
      <c r="M36" s="199">
        <f t="shared" si="4"/>
        <v>0</v>
      </c>
      <c r="N36" s="113">
        <v>0</v>
      </c>
      <c r="O36" s="199">
        <f t="shared" si="5"/>
        <v>0</v>
      </c>
      <c r="P36" s="113">
        <v>0</v>
      </c>
      <c r="Q36" s="199">
        <f t="shared" si="6"/>
        <v>0</v>
      </c>
      <c r="R36" s="113">
        <v>0</v>
      </c>
      <c r="S36" s="199">
        <f t="shared" si="7"/>
        <v>0</v>
      </c>
      <c r="T36" s="113">
        <v>0</v>
      </c>
      <c r="U36" s="199">
        <f t="shared" si="8"/>
        <v>0</v>
      </c>
      <c r="V36" s="113">
        <v>0</v>
      </c>
      <c r="W36" s="199">
        <f t="shared" si="9"/>
        <v>0</v>
      </c>
      <c r="X36" s="171">
        <f t="shared" si="10"/>
        <v>0</v>
      </c>
      <c r="Y36" s="172">
        <f t="shared" si="11"/>
        <v>0</v>
      </c>
      <c r="Z36" s="171">
        <f t="shared" si="12"/>
        <v>0</v>
      </c>
      <c r="AA36" s="170">
        <f t="shared" si="13"/>
        <v>0</v>
      </c>
      <c r="AB36" s="171">
        <f t="shared" si="14"/>
        <v>0</v>
      </c>
      <c r="AC36" s="170">
        <f t="shared" si="15"/>
        <v>0</v>
      </c>
      <c r="AD36" s="171">
        <f t="shared" si="16"/>
        <v>0</v>
      </c>
      <c r="AE36" s="170">
        <f t="shared" si="17"/>
        <v>0</v>
      </c>
      <c r="AF36" s="176">
        <f t="shared" si="18"/>
        <v>0</v>
      </c>
      <c r="AG36" s="220">
        <f t="shared" si="19"/>
        <v>0</v>
      </c>
      <c r="AH36" s="174"/>
      <c r="AI36" s="173">
        <f t="shared" si="20"/>
        <v>0</v>
      </c>
    </row>
    <row r="37" spans="1:35" ht="40.15" hidden="1" customHeight="1" thickBot="1" x14ac:dyDescent="0.4">
      <c r="A37" s="27" t="s">
        <v>320</v>
      </c>
      <c r="B37" s="210">
        <f>12.0107*7+1.00794*14</f>
        <v>98.186059999999998</v>
      </c>
      <c r="C37" s="505"/>
      <c r="D37" s="206">
        <v>0</v>
      </c>
      <c r="E37" s="235">
        <f t="shared" si="0"/>
        <v>0</v>
      </c>
      <c r="F37" s="205">
        <v>0</v>
      </c>
      <c r="G37" s="199">
        <f t="shared" si="1"/>
        <v>0</v>
      </c>
      <c r="H37" s="208">
        <v>0</v>
      </c>
      <c r="I37" s="199">
        <f t="shared" si="2"/>
        <v>0</v>
      </c>
      <c r="J37" s="207">
        <v>0</v>
      </c>
      <c r="K37" s="103">
        <f t="shared" si="3"/>
        <v>0</v>
      </c>
      <c r="L37" s="234">
        <v>0</v>
      </c>
      <c r="M37" s="199">
        <f t="shared" si="4"/>
        <v>0</v>
      </c>
      <c r="N37" s="205">
        <v>0</v>
      </c>
      <c r="O37" s="199">
        <f t="shared" si="5"/>
        <v>0</v>
      </c>
      <c r="P37" s="205">
        <v>0</v>
      </c>
      <c r="Q37" s="199">
        <f t="shared" si="6"/>
        <v>0</v>
      </c>
      <c r="R37" s="205">
        <v>0</v>
      </c>
      <c r="S37" s="199">
        <f t="shared" si="7"/>
        <v>0</v>
      </c>
      <c r="T37" s="205">
        <v>0</v>
      </c>
      <c r="U37" s="199">
        <f t="shared" si="8"/>
        <v>0</v>
      </c>
      <c r="V37" s="205">
        <v>0</v>
      </c>
      <c r="W37" s="199">
        <f t="shared" si="9"/>
        <v>0</v>
      </c>
      <c r="X37" s="171">
        <f t="shared" si="10"/>
        <v>0</v>
      </c>
      <c r="Y37" s="172">
        <f t="shared" si="11"/>
        <v>0</v>
      </c>
      <c r="Z37" s="171">
        <f t="shared" si="12"/>
        <v>0</v>
      </c>
      <c r="AA37" s="170">
        <f t="shared" si="13"/>
        <v>0</v>
      </c>
      <c r="AB37" s="171">
        <f t="shared" si="14"/>
        <v>0</v>
      </c>
      <c r="AC37" s="170">
        <f t="shared" si="15"/>
        <v>0</v>
      </c>
      <c r="AD37" s="171">
        <f t="shared" si="16"/>
        <v>0</v>
      </c>
      <c r="AE37" s="170">
        <f t="shared" si="17"/>
        <v>0</v>
      </c>
      <c r="AF37" s="176">
        <f t="shared" si="18"/>
        <v>0</v>
      </c>
      <c r="AG37" s="220">
        <f t="shared" si="19"/>
        <v>0</v>
      </c>
      <c r="AH37" s="174"/>
      <c r="AI37" s="173">
        <f t="shared" si="20"/>
        <v>0</v>
      </c>
    </row>
    <row r="38" spans="1:35" x14ac:dyDescent="0.35">
      <c r="A38" s="23" t="s">
        <v>200</v>
      </c>
      <c r="B38" s="214">
        <f>12.0107*8+1.00794*18</f>
        <v>114.22852</v>
      </c>
      <c r="C38" s="505"/>
      <c r="D38" s="233">
        <v>7.4999999999999993E-5</v>
      </c>
      <c r="E38" s="232">
        <f t="shared" si="0"/>
        <v>4.9115913555992138E-2</v>
      </c>
      <c r="F38" s="212">
        <v>5.4799999999999998E-4</v>
      </c>
      <c r="G38" s="199">
        <f t="shared" si="1"/>
        <v>0.14582224587546569</v>
      </c>
      <c r="H38" s="212">
        <v>0</v>
      </c>
      <c r="I38" s="199">
        <f t="shared" si="2"/>
        <v>0</v>
      </c>
      <c r="J38" s="212">
        <v>0</v>
      </c>
      <c r="K38" s="103">
        <f t="shared" si="3"/>
        <v>0</v>
      </c>
      <c r="L38" s="231">
        <v>7.4999999999999993E-5</v>
      </c>
      <c r="M38" s="199">
        <f t="shared" si="4"/>
        <v>4.9115913555992138E-2</v>
      </c>
      <c r="N38" s="230">
        <v>1.55E-4</v>
      </c>
      <c r="O38" s="199">
        <f t="shared" si="5"/>
        <v>4.813664596273292E-2</v>
      </c>
      <c r="P38" s="230">
        <v>9.7999999999999997E-5</v>
      </c>
      <c r="Q38" s="199">
        <f t="shared" si="6"/>
        <v>4.7781569965870317E-2</v>
      </c>
      <c r="R38" s="230">
        <v>1.45E-4</v>
      </c>
      <c r="S38" s="199">
        <f t="shared" si="7"/>
        <v>3.8584353379457162E-2</v>
      </c>
      <c r="T38" s="230">
        <v>3.3799999999999998E-4</v>
      </c>
      <c r="U38" s="199">
        <f t="shared" si="8"/>
        <v>4.7950063838842392E-2</v>
      </c>
      <c r="V38" s="230">
        <v>1.27E-4</v>
      </c>
      <c r="W38" s="199">
        <f t="shared" si="9"/>
        <v>4.7888386123680245E-2</v>
      </c>
      <c r="X38" s="171">
        <f t="shared" si="10"/>
        <v>0</v>
      </c>
      <c r="Y38" s="172">
        <f t="shared" si="11"/>
        <v>0</v>
      </c>
      <c r="Z38" s="171">
        <f t="shared" si="12"/>
        <v>5.4799999999999998E-4</v>
      </c>
      <c r="AA38" s="170">
        <f t="shared" si="13"/>
        <v>0.14582224587546569</v>
      </c>
      <c r="AB38" s="171">
        <f t="shared" si="14"/>
        <v>1.27E-4</v>
      </c>
      <c r="AC38" s="170">
        <f t="shared" si="15"/>
        <v>4.7888386123680245E-2</v>
      </c>
      <c r="AD38" s="171">
        <f t="shared" si="16"/>
        <v>1.651111111111111E-4</v>
      </c>
      <c r="AE38" s="170">
        <f t="shared" si="17"/>
        <v>4.7253242078004534E-2</v>
      </c>
      <c r="AF38" s="176">
        <f t="shared" si="18"/>
        <v>1.6519378818321526E-4</v>
      </c>
      <c r="AG38" s="220">
        <f t="shared" si="19"/>
        <v>3.9808086784523522E-2</v>
      </c>
      <c r="AH38" s="174"/>
      <c r="AI38" s="173">
        <f t="shared" si="20"/>
        <v>4.8316075747090806E-2</v>
      </c>
    </row>
    <row r="39" spans="1:35" x14ac:dyDescent="0.35">
      <c r="A39" s="229" t="s">
        <v>154</v>
      </c>
      <c r="B39" s="225">
        <f>12.0107*8+1.00794*10</f>
        <v>106.16499999999999</v>
      </c>
      <c r="C39" s="505"/>
      <c r="D39" s="227">
        <v>1.9999999999999999E-6</v>
      </c>
      <c r="E39" s="224">
        <f t="shared" si="0"/>
        <v>1.3097576948264572E-3</v>
      </c>
      <c r="F39" s="222">
        <v>1.0000000000000001E-5</v>
      </c>
      <c r="G39" s="221">
        <f t="shared" si="1"/>
        <v>2.660989888238425E-3</v>
      </c>
      <c r="H39" s="114">
        <v>0</v>
      </c>
      <c r="I39" s="221">
        <f t="shared" si="2"/>
        <v>0</v>
      </c>
      <c r="J39" s="114">
        <v>0</v>
      </c>
      <c r="K39" s="49">
        <f t="shared" si="3"/>
        <v>0</v>
      </c>
      <c r="L39" s="226">
        <v>1.9999999999999999E-6</v>
      </c>
      <c r="M39" s="221">
        <f t="shared" si="4"/>
        <v>1.3097576948264572E-3</v>
      </c>
      <c r="N39" s="222">
        <v>5.0000000000000004E-6</v>
      </c>
      <c r="O39" s="221">
        <f t="shared" si="5"/>
        <v>1.5527950310559009E-3</v>
      </c>
      <c r="P39" s="222">
        <v>3.0000000000000001E-6</v>
      </c>
      <c r="Q39" s="221">
        <f t="shared" si="6"/>
        <v>1.4627011214041936E-3</v>
      </c>
      <c r="R39" s="222">
        <v>3.9999999999999998E-6</v>
      </c>
      <c r="S39" s="221">
        <f t="shared" si="7"/>
        <v>1.06439595529537E-3</v>
      </c>
      <c r="T39" s="222">
        <v>1.0000000000000001E-5</v>
      </c>
      <c r="U39" s="221">
        <f t="shared" si="8"/>
        <v>1.4186409419775859E-3</v>
      </c>
      <c r="V39" s="222">
        <v>3.9999999999999998E-6</v>
      </c>
      <c r="W39" s="221">
        <f t="shared" si="9"/>
        <v>1.5082956259426848E-3</v>
      </c>
      <c r="X39" s="171">
        <f t="shared" si="10"/>
        <v>0</v>
      </c>
      <c r="Y39" s="172">
        <f t="shared" si="11"/>
        <v>0</v>
      </c>
      <c r="Z39" s="171">
        <f t="shared" si="12"/>
        <v>1.0000000000000001E-5</v>
      </c>
      <c r="AA39" s="170">
        <f t="shared" si="13"/>
        <v>2.660989888238425E-3</v>
      </c>
      <c r="AB39" s="171">
        <f t="shared" si="14"/>
        <v>3.9999999999999998E-6</v>
      </c>
      <c r="AC39" s="170">
        <f t="shared" si="15"/>
        <v>1.4186409419775859E-3</v>
      </c>
      <c r="AD39" s="171">
        <f t="shared" si="16"/>
        <v>4.2222222222222228E-6</v>
      </c>
      <c r="AE39" s="170">
        <f t="shared" si="17"/>
        <v>1.219730695415624E-3</v>
      </c>
      <c r="AF39" s="176">
        <f t="shared" si="18"/>
        <v>3.4889596595794627E-6</v>
      </c>
      <c r="AG39" s="220">
        <f t="shared" si="19"/>
        <v>7.7299915384340158E-4</v>
      </c>
      <c r="AH39" s="174"/>
      <c r="AI39" s="173">
        <f t="shared" si="20"/>
        <v>1.247165233095932E-3</v>
      </c>
    </row>
    <row r="40" spans="1:35" x14ac:dyDescent="0.35">
      <c r="A40" s="228" t="s">
        <v>319</v>
      </c>
      <c r="B40" s="225">
        <f>12.0107*8+1.00794*10</f>
        <v>106.16499999999999</v>
      </c>
      <c r="C40" s="505"/>
      <c r="D40" s="227">
        <v>0</v>
      </c>
      <c r="E40" s="224">
        <f t="shared" si="0"/>
        <v>0</v>
      </c>
      <c r="F40" s="116">
        <v>1.7161016949152544E-6</v>
      </c>
      <c r="G40" s="221">
        <f t="shared" si="1"/>
        <v>4.5665292573583146E-4</v>
      </c>
      <c r="H40" s="114">
        <v>0</v>
      </c>
      <c r="I40" s="221">
        <f t="shared" si="2"/>
        <v>0</v>
      </c>
      <c r="J40" s="114">
        <v>0</v>
      </c>
      <c r="K40" s="49">
        <f t="shared" si="3"/>
        <v>0</v>
      </c>
      <c r="L40" s="226">
        <v>7.3333333333333331E-6</v>
      </c>
      <c r="M40" s="221">
        <f t="shared" si="4"/>
        <v>4.8024448810303428E-3</v>
      </c>
      <c r="N40" s="222">
        <v>1.5333333333333331E-5</v>
      </c>
      <c r="O40" s="221">
        <f t="shared" si="5"/>
        <v>4.7619047619047615E-3</v>
      </c>
      <c r="P40" s="222">
        <v>9.9999999999999991E-6</v>
      </c>
      <c r="Q40" s="221">
        <f t="shared" si="6"/>
        <v>4.8756704046806444E-3</v>
      </c>
      <c r="R40" s="222">
        <v>1.4666666666666666E-5</v>
      </c>
      <c r="S40" s="221">
        <f t="shared" si="7"/>
        <v>3.9027851694163566E-3</v>
      </c>
      <c r="T40" s="222">
        <v>3.4E-5</v>
      </c>
      <c r="U40" s="221">
        <f t="shared" si="8"/>
        <v>4.8233792027237918E-3</v>
      </c>
      <c r="V40" s="222">
        <v>1.2666666666666667E-5</v>
      </c>
      <c r="W40" s="221">
        <f t="shared" si="9"/>
        <v>4.7762694821518355E-3</v>
      </c>
      <c r="X40" s="171">
        <f t="shared" si="10"/>
        <v>0</v>
      </c>
      <c r="Y40" s="172">
        <f t="shared" si="11"/>
        <v>0</v>
      </c>
      <c r="Z40" s="171">
        <f t="shared" si="12"/>
        <v>3.4E-5</v>
      </c>
      <c r="AA40" s="170">
        <f t="shared" si="13"/>
        <v>4.8756704046806444E-3</v>
      </c>
      <c r="AB40" s="171">
        <f t="shared" si="14"/>
        <v>9.9999999999999991E-6</v>
      </c>
      <c r="AC40" s="170">
        <f t="shared" si="15"/>
        <v>4.7619047619047615E-3</v>
      </c>
      <c r="AD40" s="171">
        <f t="shared" si="16"/>
        <v>1.0635122410546139E-5</v>
      </c>
      <c r="AE40" s="170">
        <f t="shared" si="17"/>
        <v>3.1554563141826179E-3</v>
      </c>
      <c r="AF40" s="176">
        <f t="shared" si="18"/>
        <v>1.0030160025786832E-5</v>
      </c>
      <c r="AG40" s="220">
        <f t="shared" si="19"/>
        <v>2.1452074701019965E-3</v>
      </c>
      <c r="AH40" s="174"/>
      <c r="AI40" s="173">
        <f t="shared" si="20"/>
        <v>3.2264297556770217E-3</v>
      </c>
    </row>
    <row r="41" spans="1:35" x14ac:dyDescent="0.35">
      <c r="A41" s="228" t="s">
        <v>318</v>
      </c>
      <c r="B41" s="225">
        <f>12.0107*8+1.00794*10</f>
        <v>106.16499999999999</v>
      </c>
      <c r="C41" s="505"/>
      <c r="D41" s="227">
        <v>1.1E-5</v>
      </c>
      <c r="E41" s="224">
        <f t="shared" si="0"/>
        <v>7.2036673215455146E-3</v>
      </c>
      <c r="F41" s="222">
        <v>3.2838983050847462E-6</v>
      </c>
      <c r="G41" s="221">
        <f t="shared" si="1"/>
        <v>8.7384201838338119E-4</v>
      </c>
      <c r="H41" s="114">
        <v>0</v>
      </c>
      <c r="I41" s="221">
        <f t="shared" si="2"/>
        <v>0</v>
      </c>
      <c r="J41" s="114">
        <v>1.9999999999999999E-6</v>
      </c>
      <c r="K41" s="49">
        <f t="shared" si="3"/>
        <v>0.14285714285714288</v>
      </c>
      <c r="L41" s="226">
        <v>3.6666666666666666E-6</v>
      </c>
      <c r="M41" s="221">
        <f t="shared" si="4"/>
        <v>2.4012224405151714E-3</v>
      </c>
      <c r="N41" s="222">
        <v>7.6666666666666655E-6</v>
      </c>
      <c r="O41" s="221">
        <f t="shared" si="5"/>
        <v>2.3809523809523807E-3</v>
      </c>
      <c r="P41" s="222">
        <v>4.9999999999999996E-6</v>
      </c>
      <c r="Q41" s="221">
        <f t="shared" si="6"/>
        <v>2.4378352023403222E-3</v>
      </c>
      <c r="R41" s="222">
        <v>7.3333333333333331E-6</v>
      </c>
      <c r="S41" s="221">
        <f t="shared" si="7"/>
        <v>1.9513925847081783E-3</v>
      </c>
      <c r="T41" s="222">
        <v>1.7E-5</v>
      </c>
      <c r="U41" s="221">
        <f t="shared" si="8"/>
        <v>2.4116896013618959E-3</v>
      </c>
      <c r="V41" s="222">
        <v>6.3333333333333334E-6</v>
      </c>
      <c r="W41" s="221">
        <f t="shared" si="9"/>
        <v>2.3881347410759177E-3</v>
      </c>
      <c r="X41" s="171">
        <f t="shared" si="10"/>
        <v>0</v>
      </c>
      <c r="Y41" s="172">
        <f t="shared" si="11"/>
        <v>0</v>
      </c>
      <c r="Z41" s="171">
        <f t="shared" si="12"/>
        <v>1.7E-5</v>
      </c>
      <c r="AA41" s="170">
        <f t="shared" si="13"/>
        <v>0.14285714285714288</v>
      </c>
      <c r="AB41" s="171">
        <f t="shared" si="14"/>
        <v>4.9999999999999996E-6</v>
      </c>
      <c r="AC41" s="170">
        <f t="shared" si="15"/>
        <v>2.3881347410759177E-3</v>
      </c>
      <c r="AD41" s="171">
        <f t="shared" si="16"/>
        <v>5.8093220338983049E-6</v>
      </c>
      <c r="AE41" s="170">
        <f t="shared" si="17"/>
        <v>1.7522467980720009E-2</v>
      </c>
      <c r="AF41" s="176">
        <f t="shared" si="18"/>
        <v>4.6087006694755864E-6</v>
      </c>
      <c r="AG41" s="220">
        <f t="shared" si="19"/>
        <v>4.4319922933118996E-2</v>
      </c>
      <c r="AH41" s="174"/>
      <c r="AI41" s="173">
        <f t="shared" si="20"/>
        <v>1.7916588428681064E-2</v>
      </c>
    </row>
    <row r="42" spans="1:35" ht="15" customHeight="1" x14ac:dyDescent="0.35">
      <c r="A42" s="228"/>
      <c r="B42" s="225">
        <f>12.0107*8+1.00794*10</f>
        <v>106.16499999999999</v>
      </c>
      <c r="C42" s="505"/>
      <c r="D42" s="227"/>
      <c r="E42" s="224">
        <f t="shared" si="0"/>
        <v>0</v>
      </c>
      <c r="F42" s="222"/>
      <c r="G42" s="221">
        <f t="shared" si="1"/>
        <v>0</v>
      </c>
      <c r="H42" s="114">
        <v>0</v>
      </c>
      <c r="I42" s="221">
        <f t="shared" si="2"/>
        <v>0</v>
      </c>
      <c r="J42" s="114">
        <v>0</v>
      </c>
      <c r="K42" s="49">
        <f t="shared" si="3"/>
        <v>0</v>
      </c>
      <c r="L42" s="226"/>
      <c r="M42" s="221">
        <f t="shared" si="4"/>
        <v>0</v>
      </c>
      <c r="N42" s="222"/>
      <c r="O42" s="221">
        <f t="shared" si="5"/>
        <v>0</v>
      </c>
      <c r="P42" s="222"/>
      <c r="Q42" s="221">
        <f t="shared" si="6"/>
        <v>0</v>
      </c>
      <c r="R42" s="222"/>
      <c r="S42" s="221">
        <f t="shared" si="7"/>
        <v>0</v>
      </c>
      <c r="T42" s="222"/>
      <c r="U42" s="221">
        <f t="shared" si="8"/>
        <v>0</v>
      </c>
      <c r="V42" s="222"/>
      <c r="W42" s="221">
        <f t="shared" si="9"/>
        <v>0</v>
      </c>
      <c r="X42" s="171">
        <f t="shared" si="10"/>
        <v>0</v>
      </c>
      <c r="Y42" s="172">
        <f t="shared" si="11"/>
        <v>0</v>
      </c>
      <c r="Z42" s="171">
        <f t="shared" si="12"/>
        <v>0</v>
      </c>
      <c r="AA42" s="170">
        <f t="shared" si="13"/>
        <v>0</v>
      </c>
      <c r="AB42" s="171">
        <f t="shared" si="14"/>
        <v>0</v>
      </c>
      <c r="AC42" s="170">
        <f t="shared" si="15"/>
        <v>0</v>
      </c>
      <c r="AD42" s="171">
        <f t="shared" si="16"/>
        <v>0</v>
      </c>
      <c r="AE42" s="170">
        <f t="shared" si="17"/>
        <v>0</v>
      </c>
      <c r="AF42" s="176">
        <f t="shared" si="18"/>
        <v>0</v>
      </c>
      <c r="AG42" s="220">
        <f t="shared" si="19"/>
        <v>0</v>
      </c>
      <c r="AH42" s="174"/>
      <c r="AI42" s="173">
        <f t="shared" si="20"/>
        <v>0</v>
      </c>
    </row>
    <row r="43" spans="1:35" ht="39.65" customHeight="1" x14ac:dyDescent="0.35">
      <c r="A43" s="25" t="s">
        <v>317</v>
      </c>
      <c r="B43" s="225">
        <f>12.0107*8+1.00794*18</f>
        <v>114.22852</v>
      </c>
      <c r="C43" s="505"/>
      <c r="D43" s="216">
        <v>0</v>
      </c>
      <c r="E43" s="224">
        <f t="shared" si="0"/>
        <v>0</v>
      </c>
      <c r="F43" s="113">
        <v>0</v>
      </c>
      <c r="G43" s="221">
        <f t="shared" si="1"/>
        <v>0</v>
      </c>
      <c r="H43" s="114">
        <v>0</v>
      </c>
      <c r="I43" s="221">
        <f t="shared" si="2"/>
        <v>0</v>
      </c>
      <c r="J43" s="114">
        <v>0</v>
      </c>
      <c r="K43" s="49">
        <f t="shared" si="3"/>
        <v>0</v>
      </c>
      <c r="L43" s="223">
        <v>0</v>
      </c>
      <c r="M43" s="221">
        <f t="shared" si="4"/>
        <v>0</v>
      </c>
      <c r="N43" s="113">
        <v>0</v>
      </c>
      <c r="O43" s="221">
        <f t="shared" si="5"/>
        <v>0</v>
      </c>
      <c r="P43" s="113">
        <v>0</v>
      </c>
      <c r="Q43" s="221">
        <f t="shared" si="6"/>
        <v>0</v>
      </c>
      <c r="R43" s="113">
        <v>0</v>
      </c>
      <c r="S43" s="221">
        <f t="shared" si="7"/>
        <v>0</v>
      </c>
      <c r="T43" s="113">
        <v>0</v>
      </c>
      <c r="U43" s="221">
        <f t="shared" si="8"/>
        <v>0</v>
      </c>
      <c r="V43" s="113">
        <v>0</v>
      </c>
      <c r="W43" s="221">
        <f t="shared" si="9"/>
        <v>0</v>
      </c>
      <c r="X43" s="171">
        <f t="shared" si="10"/>
        <v>0</v>
      </c>
      <c r="Y43" s="172">
        <f t="shared" si="11"/>
        <v>0</v>
      </c>
      <c r="Z43" s="171">
        <f t="shared" si="12"/>
        <v>0</v>
      </c>
      <c r="AA43" s="170">
        <f t="shared" si="13"/>
        <v>0</v>
      </c>
      <c r="AB43" s="171">
        <f t="shared" si="14"/>
        <v>0</v>
      </c>
      <c r="AC43" s="170">
        <f t="shared" si="15"/>
        <v>0</v>
      </c>
      <c r="AD43" s="171">
        <f t="shared" si="16"/>
        <v>0</v>
      </c>
      <c r="AE43" s="170">
        <f t="shared" si="17"/>
        <v>0</v>
      </c>
      <c r="AF43" s="176">
        <f t="shared" si="18"/>
        <v>0</v>
      </c>
      <c r="AG43" s="220">
        <f t="shared" si="19"/>
        <v>0</v>
      </c>
      <c r="AH43" s="174"/>
      <c r="AI43" s="173">
        <f t="shared" si="20"/>
        <v>0</v>
      </c>
    </row>
    <row r="44" spans="1:35" ht="39.65" customHeight="1" x14ac:dyDescent="0.35">
      <c r="A44" s="25" t="s">
        <v>316</v>
      </c>
      <c r="B44" s="225">
        <f>12.0107*8+1.00794*18</f>
        <v>114.22852</v>
      </c>
      <c r="C44" s="505"/>
      <c r="D44" s="216">
        <v>0</v>
      </c>
      <c r="E44" s="224">
        <f t="shared" si="0"/>
        <v>0</v>
      </c>
      <c r="F44" s="113">
        <v>0</v>
      </c>
      <c r="G44" s="221">
        <f t="shared" si="1"/>
        <v>0</v>
      </c>
      <c r="H44" s="114">
        <v>0</v>
      </c>
      <c r="I44" s="221">
        <f t="shared" si="2"/>
        <v>0</v>
      </c>
      <c r="J44" s="114">
        <v>0</v>
      </c>
      <c r="K44" s="49">
        <f t="shared" si="3"/>
        <v>0</v>
      </c>
      <c r="L44" s="223">
        <v>0</v>
      </c>
      <c r="M44" s="221">
        <f t="shared" si="4"/>
        <v>0</v>
      </c>
      <c r="N44" s="113">
        <v>0</v>
      </c>
      <c r="O44" s="221">
        <f t="shared" si="5"/>
        <v>0</v>
      </c>
      <c r="P44" s="113">
        <v>0</v>
      </c>
      <c r="Q44" s="221">
        <f t="shared" si="6"/>
        <v>0</v>
      </c>
      <c r="R44" s="113">
        <v>0</v>
      </c>
      <c r="S44" s="221">
        <f t="shared" si="7"/>
        <v>0</v>
      </c>
      <c r="T44" s="113">
        <v>0</v>
      </c>
      <c r="U44" s="221">
        <f t="shared" si="8"/>
        <v>0</v>
      </c>
      <c r="V44" s="113">
        <v>0</v>
      </c>
      <c r="W44" s="221">
        <f t="shared" si="9"/>
        <v>0</v>
      </c>
      <c r="X44" s="171">
        <f t="shared" si="10"/>
        <v>0</v>
      </c>
      <c r="Y44" s="172">
        <f t="shared" si="11"/>
        <v>0</v>
      </c>
      <c r="Z44" s="171">
        <f t="shared" si="12"/>
        <v>0</v>
      </c>
      <c r="AA44" s="170">
        <f t="shared" si="13"/>
        <v>0</v>
      </c>
      <c r="AB44" s="171">
        <f t="shared" si="14"/>
        <v>0</v>
      </c>
      <c r="AC44" s="170">
        <f t="shared" si="15"/>
        <v>0</v>
      </c>
      <c r="AD44" s="171">
        <f t="shared" si="16"/>
        <v>0</v>
      </c>
      <c r="AE44" s="170">
        <f t="shared" si="17"/>
        <v>0</v>
      </c>
      <c r="AF44" s="176">
        <f t="shared" si="18"/>
        <v>0</v>
      </c>
      <c r="AG44" s="220">
        <f t="shared" si="19"/>
        <v>0</v>
      </c>
      <c r="AH44" s="174"/>
      <c r="AI44" s="173">
        <f t="shared" si="20"/>
        <v>0</v>
      </c>
    </row>
    <row r="45" spans="1:35" ht="39.65" customHeight="1" x14ac:dyDescent="0.35">
      <c r="A45" s="25" t="s">
        <v>315</v>
      </c>
      <c r="B45" s="225">
        <f>12.0107*8+1.00794*18</f>
        <v>114.22852</v>
      </c>
      <c r="C45" s="505"/>
      <c r="D45" s="216">
        <v>0</v>
      </c>
      <c r="E45" s="224">
        <f t="shared" si="0"/>
        <v>0</v>
      </c>
      <c r="F45" s="113">
        <v>0</v>
      </c>
      <c r="G45" s="221">
        <f t="shared" si="1"/>
        <v>0</v>
      </c>
      <c r="H45" s="114">
        <v>0</v>
      </c>
      <c r="I45" s="221">
        <f t="shared" si="2"/>
        <v>0</v>
      </c>
      <c r="J45" s="114">
        <v>0</v>
      </c>
      <c r="K45" s="49">
        <f t="shared" si="3"/>
        <v>0</v>
      </c>
      <c r="L45" s="223">
        <v>0</v>
      </c>
      <c r="M45" s="221">
        <f t="shared" si="4"/>
        <v>0</v>
      </c>
      <c r="N45" s="113">
        <v>0</v>
      </c>
      <c r="O45" s="221">
        <f t="shared" si="5"/>
        <v>0</v>
      </c>
      <c r="P45" s="113">
        <v>0</v>
      </c>
      <c r="Q45" s="221">
        <f t="shared" si="6"/>
        <v>0</v>
      </c>
      <c r="R45" s="113">
        <v>0</v>
      </c>
      <c r="S45" s="221">
        <f t="shared" si="7"/>
        <v>0</v>
      </c>
      <c r="T45" s="113">
        <v>0</v>
      </c>
      <c r="U45" s="221">
        <f t="shared" si="8"/>
        <v>0</v>
      </c>
      <c r="V45" s="113">
        <v>0</v>
      </c>
      <c r="W45" s="221">
        <f t="shared" si="9"/>
        <v>0</v>
      </c>
      <c r="X45" s="171">
        <f t="shared" si="10"/>
        <v>0</v>
      </c>
      <c r="Y45" s="172">
        <f t="shared" si="11"/>
        <v>0</v>
      </c>
      <c r="Z45" s="171">
        <f t="shared" si="12"/>
        <v>0</v>
      </c>
      <c r="AA45" s="170">
        <f t="shared" si="13"/>
        <v>0</v>
      </c>
      <c r="AB45" s="171">
        <f t="shared" si="14"/>
        <v>0</v>
      </c>
      <c r="AC45" s="170">
        <f t="shared" si="15"/>
        <v>0</v>
      </c>
      <c r="AD45" s="171">
        <f t="shared" si="16"/>
        <v>0</v>
      </c>
      <c r="AE45" s="170">
        <f t="shared" si="17"/>
        <v>0</v>
      </c>
      <c r="AF45" s="176">
        <f t="shared" si="18"/>
        <v>0</v>
      </c>
      <c r="AG45" s="220">
        <f t="shared" si="19"/>
        <v>0</v>
      </c>
      <c r="AH45" s="174"/>
      <c r="AI45" s="173">
        <f t="shared" si="20"/>
        <v>0</v>
      </c>
    </row>
    <row r="46" spans="1:35" ht="39.65" customHeight="1" x14ac:dyDescent="0.35">
      <c r="A46" s="25" t="s">
        <v>314</v>
      </c>
      <c r="B46" s="225">
        <f>12.0107*8+1.00794*18</f>
        <v>114.22852</v>
      </c>
      <c r="C46" s="505"/>
      <c r="D46" s="216">
        <v>0</v>
      </c>
      <c r="E46" s="224">
        <f t="shared" si="0"/>
        <v>0</v>
      </c>
      <c r="F46" s="113">
        <v>0</v>
      </c>
      <c r="G46" s="221">
        <f t="shared" si="1"/>
        <v>0</v>
      </c>
      <c r="H46" s="114">
        <v>0</v>
      </c>
      <c r="I46" s="221">
        <f t="shared" si="2"/>
        <v>0</v>
      </c>
      <c r="J46" s="114">
        <v>0</v>
      </c>
      <c r="K46" s="49">
        <f t="shared" si="3"/>
        <v>0</v>
      </c>
      <c r="L46" s="223">
        <v>0</v>
      </c>
      <c r="M46" s="221">
        <f t="shared" si="4"/>
        <v>0</v>
      </c>
      <c r="N46" s="113">
        <v>0</v>
      </c>
      <c r="O46" s="221">
        <f t="shared" si="5"/>
        <v>0</v>
      </c>
      <c r="P46" s="113">
        <v>0</v>
      </c>
      <c r="Q46" s="221">
        <f t="shared" si="6"/>
        <v>0</v>
      </c>
      <c r="R46" s="113">
        <v>0</v>
      </c>
      <c r="S46" s="221">
        <f t="shared" si="7"/>
        <v>0</v>
      </c>
      <c r="T46" s="113">
        <v>0</v>
      </c>
      <c r="U46" s="221">
        <f t="shared" si="8"/>
        <v>0</v>
      </c>
      <c r="V46" s="113">
        <v>0</v>
      </c>
      <c r="W46" s="221">
        <f t="shared" si="9"/>
        <v>0</v>
      </c>
      <c r="X46" s="171">
        <f t="shared" si="10"/>
        <v>0</v>
      </c>
      <c r="Y46" s="172">
        <f t="shared" si="11"/>
        <v>0</v>
      </c>
      <c r="Z46" s="171">
        <f t="shared" si="12"/>
        <v>0</v>
      </c>
      <c r="AA46" s="170">
        <f t="shared" si="13"/>
        <v>0</v>
      </c>
      <c r="AB46" s="171">
        <f t="shared" si="14"/>
        <v>0</v>
      </c>
      <c r="AC46" s="170">
        <f t="shared" si="15"/>
        <v>0</v>
      </c>
      <c r="AD46" s="171">
        <f t="shared" si="16"/>
        <v>0</v>
      </c>
      <c r="AE46" s="170">
        <f t="shared" si="17"/>
        <v>0</v>
      </c>
      <c r="AF46" s="176">
        <f t="shared" si="18"/>
        <v>0</v>
      </c>
      <c r="AG46" s="220">
        <f t="shared" si="19"/>
        <v>0</v>
      </c>
      <c r="AH46" s="174"/>
      <c r="AI46" s="173">
        <f t="shared" si="20"/>
        <v>0</v>
      </c>
    </row>
    <row r="47" spans="1:35" ht="39.65" customHeight="1" x14ac:dyDescent="0.35">
      <c r="A47" s="25" t="s">
        <v>313</v>
      </c>
      <c r="B47" s="225">
        <f>12.0107*8+1.00794*18</f>
        <v>114.22852</v>
      </c>
      <c r="C47" s="505"/>
      <c r="D47" s="216">
        <v>0</v>
      </c>
      <c r="E47" s="224">
        <f t="shared" si="0"/>
        <v>0</v>
      </c>
      <c r="F47" s="113">
        <v>0</v>
      </c>
      <c r="G47" s="221">
        <f t="shared" si="1"/>
        <v>0</v>
      </c>
      <c r="H47" s="114">
        <v>0</v>
      </c>
      <c r="I47" s="221">
        <f t="shared" si="2"/>
        <v>0</v>
      </c>
      <c r="J47" s="114">
        <v>0</v>
      </c>
      <c r="K47" s="49">
        <f t="shared" si="3"/>
        <v>0</v>
      </c>
      <c r="L47" s="223">
        <v>0</v>
      </c>
      <c r="M47" s="221">
        <f t="shared" si="4"/>
        <v>0</v>
      </c>
      <c r="N47" s="113">
        <v>0</v>
      </c>
      <c r="O47" s="221">
        <f t="shared" si="5"/>
        <v>0</v>
      </c>
      <c r="P47" s="113">
        <v>0</v>
      </c>
      <c r="Q47" s="221">
        <f t="shared" si="6"/>
        <v>0</v>
      </c>
      <c r="R47" s="113">
        <v>0</v>
      </c>
      <c r="S47" s="221">
        <f t="shared" si="7"/>
        <v>0</v>
      </c>
      <c r="T47" s="113">
        <v>0</v>
      </c>
      <c r="U47" s="221">
        <f t="shared" si="8"/>
        <v>0</v>
      </c>
      <c r="V47" s="113">
        <v>0</v>
      </c>
      <c r="W47" s="221">
        <f t="shared" si="9"/>
        <v>0</v>
      </c>
      <c r="X47" s="171">
        <f t="shared" si="10"/>
        <v>0</v>
      </c>
      <c r="Y47" s="172">
        <f t="shared" si="11"/>
        <v>0</v>
      </c>
      <c r="Z47" s="171">
        <f t="shared" si="12"/>
        <v>0</v>
      </c>
      <c r="AA47" s="170">
        <f t="shared" si="13"/>
        <v>0</v>
      </c>
      <c r="AB47" s="171">
        <f t="shared" si="14"/>
        <v>0</v>
      </c>
      <c r="AC47" s="170">
        <f t="shared" si="15"/>
        <v>0</v>
      </c>
      <c r="AD47" s="171">
        <f t="shared" si="16"/>
        <v>0</v>
      </c>
      <c r="AE47" s="170">
        <f t="shared" si="17"/>
        <v>0</v>
      </c>
      <c r="AF47" s="176">
        <f t="shared" si="18"/>
        <v>0</v>
      </c>
      <c r="AG47" s="220">
        <f t="shared" si="19"/>
        <v>0</v>
      </c>
      <c r="AH47" s="174"/>
      <c r="AI47" s="173">
        <f t="shared" si="20"/>
        <v>0</v>
      </c>
    </row>
    <row r="48" spans="1:35" ht="39.65" customHeight="1" x14ac:dyDescent="0.35">
      <c r="A48" s="25" t="s">
        <v>312</v>
      </c>
      <c r="B48" s="225">
        <f>12.0107*8+1.00794*16</f>
        <v>112.21263999999999</v>
      </c>
      <c r="C48" s="505"/>
      <c r="D48" s="216">
        <v>0</v>
      </c>
      <c r="E48" s="224">
        <f t="shared" si="0"/>
        <v>0</v>
      </c>
      <c r="F48" s="113">
        <v>0</v>
      </c>
      <c r="G48" s="221">
        <f t="shared" si="1"/>
        <v>0</v>
      </c>
      <c r="H48" s="114">
        <v>0</v>
      </c>
      <c r="I48" s="221">
        <f t="shared" si="2"/>
        <v>0</v>
      </c>
      <c r="J48" s="114">
        <v>0</v>
      </c>
      <c r="K48" s="49">
        <f t="shared" si="3"/>
        <v>0</v>
      </c>
      <c r="L48" s="223">
        <v>0</v>
      </c>
      <c r="M48" s="221">
        <f t="shared" si="4"/>
        <v>0</v>
      </c>
      <c r="N48" s="113">
        <v>0</v>
      </c>
      <c r="O48" s="221">
        <f t="shared" si="5"/>
        <v>0</v>
      </c>
      <c r="P48" s="113">
        <v>0</v>
      </c>
      <c r="Q48" s="221">
        <f t="shared" si="6"/>
        <v>0</v>
      </c>
      <c r="R48" s="113">
        <v>0</v>
      </c>
      <c r="S48" s="221">
        <f t="shared" si="7"/>
        <v>0</v>
      </c>
      <c r="T48" s="113">
        <v>0</v>
      </c>
      <c r="U48" s="221">
        <f t="shared" si="8"/>
        <v>0</v>
      </c>
      <c r="V48" s="113">
        <v>0</v>
      </c>
      <c r="W48" s="221">
        <f t="shared" si="9"/>
        <v>0</v>
      </c>
      <c r="X48" s="171">
        <f t="shared" si="10"/>
        <v>0</v>
      </c>
      <c r="Y48" s="172">
        <f t="shared" si="11"/>
        <v>0</v>
      </c>
      <c r="Z48" s="171">
        <f t="shared" si="12"/>
        <v>0</v>
      </c>
      <c r="AA48" s="170">
        <f t="shared" si="13"/>
        <v>0</v>
      </c>
      <c r="AB48" s="171">
        <f t="shared" si="14"/>
        <v>0</v>
      </c>
      <c r="AC48" s="170">
        <f t="shared" si="15"/>
        <v>0</v>
      </c>
      <c r="AD48" s="171">
        <f t="shared" si="16"/>
        <v>0</v>
      </c>
      <c r="AE48" s="170">
        <f t="shared" si="17"/>
        <v>0</v>
      </c>
      <c r="AF48" s="176">
        <f t="shared" si="18"/>
        <v>0</v>
      </c>
      <c r="AG48" s="220">
        <f t="shared" si="19"/>
        <v>0</v>
      </c>
      <c r="AH48" s="174"/>
      <c r="AI48" s="173">
        <f t="shared" si="20"/>
        <v>0</v>
      </c>
    </row>
    <row r="49" spans="1:35" ht="39.65" customHeight="1" x14ac:dyDescent="0.35">
      <c r="A49" s="25" t="s">
        <v>311</v>
      </c>
      <c r="B49" s="225">
        <f>12.0107*8+1.00794*16</f>
        <v>112.21263999999999</v>
      </c>
      <c r="C49" s="505"/>
      <c r="D49" s="216">
        <v>0</v>
      </c>
      <c r="E49" s="224">
        <f t="shared" si="0"/>
        <v>0</v>
      </c>
      <c r="F49" s="113">
        <v>0</v>
      </c>
      <c r="G49" s="221">
        <f t="shared" si="1"/>
        <v>0</v>
      </c>
      <c r="H49" s="114">
        <v>0</v>
      </c>
      <c r="I49" s="221">
        <f t="shared" si="2"/>
        <v>0</v>
      </c>
      <c r="J49" s="114">
        <v>0</v>
      </c>
      <c r="K49" s="49">
        <f t="shared" si="3"/>
        <v>0</v>
      </c>
      <c r="L49" s="223">
        <v>0</v>
      </c>
      <c r="M49" s="221">
        <f t="shared" si="4"/>
        <v>0</v>
      </c>
      <c r="N49" s="113">
        <v>0</v>
      </c>
      <c r="O49" s="221">
        <f t="shared" si="5"/>
        <v>0</v>
      </c>
      <c r="P49" s="113">
        <v>0</v>
      </c>
      <c r="Q49" s="221">
        <f t="shared" si="6"/>
        <v>0</v>
      </c>
      <c r="R49" s="113">
        <v>0</v>
      </c>
      <c r="S49" s="221">
        <f t="shared" si="7"/>
        <v>0</v>
      </c>
      <c r="T49" s="113">
        <v>0</v>
      </c>
      <c r="U49" s="221">
        <f t="shared" si="8"/>
        <v>0</v>
      </c>
      <c r="V49" s="113">
        <v>0</v>
      </c>
      <c r="W49" s="221">
        <f t="shared" si="9"/>
        <v>0</v>
      </c>
      <c r="X49" s="171">
        <f t="shared" si="10"/>
        <v>0</v>
      </c>
      <c r="Y49" s="172">
        <f t="shared" si="11"/>
        <v>0</v>
      </c>
      <c r="Z49" s="171">
        <f t="shared" si="12"/>
        <v>0</v>
      </c>
      <c r="AA49" s="170">
        <f t="shared" si="13"/>
        <v>0</v>
      </c>
      <c r="AB49" s="171">
        <f t="shared" si="14"/>
        <v>0</v>
      </c>
      <c r="AC49" s="170">
        <f t="shared" si="15"/>
        <v>0</v>
      </c>
      <c r="AD49" s="171">
        <f t="shared" si="16"/>
        <v>0</v>
      </c>
      <c r="AE49" s="170">
        <f t="shared" si="17"/>
        <v>0</v>
      </c>
      <c r="AF49" s="176">
        <f t="shared" si="18"/>
        <v>0</v>
      </c>
      <c r="AG49" s="220">
        <f t="shared" si="19"/>
        <v>0</v>
      </c>
      <c r="AH49" s="174"/>
      <c r="AI49" s="173">
        <f t="shared" si="20"/>
        <v>0</v>
      </c>
    </row>
    <row r="50" spans="1:35" ht="39.65" customHeight="1" x14ac:dyDescent="0.35">
      <c r="A50" s="25" t="s">
        <v>310</v>
      </c>
      <c r="B50" s="225">
        <f>12.0107*8+1.00794*16</f>
        <v>112.21263999999999</v>
      </c>
      <c r="C50" s="505"/>
      <c r="D50" s="216">
        <v>0</v>
      </c>
      <c r="E50" s="224">
        <f t="shared" si="0"/>
        <v>0</v>
      </c>
      <c r="F50" s="113">
        <v>0</v>
      </c>
      <c r="G50" s="221">
        <f t="shared" si="1"/>
        <v>0</v>
      </c>
      <c r="H50" s="114">
        <v>0</v>
      </c>
      <c r="I50" s="221">
        <f t="shared" si="2"/>
        <v>0</v>
      </c>
      <c r="J50" s="114">
        <v>0</v>
      </c>
      <c r="K50" s="49">
        <f t="shared" si="3"/>
        <v>0</v>
      </c>
      <c r="L50" s="223">
        <v>0</v>
      </c>
      <c r="M50" s="221">
        <f t="shared" si="4"/>
        <v>0</v>
      </c>
      <c r="N50" s="113">
        <v>0</v>
      </c>
      <c r="O50" s="221">
        <f t="shared" si="5"/>
        <v>0</v>
      </c>
      <c r="P50" s="113">
        <v>0</v>
      </c>
      <c r="Q50" s="221">
        <f t="shared" si="6"/>
        <v>0</v>
      </c>
      <c r="R50" s="113">
        <v>0</v>
      </c>
      <c r="S50" s="221">
        <f t="shared" si="7"/>
        <v>0</v>
      </c>
      <c r="T50" s="113">
        <v>0</v>
      </c>
      <c r="U50" s="221">
        <f t="shared" si="8"/>
        <v>0</v>
      </c>
      <c r="V50" s="113">
        <v>0</v>
      </c>
      <c r="W50" s="221">
        <f t="shared" si="9"/>
        <v>0</v>
      </c>
      <c r="X50" s="171">
        <f t="shared" si="10"/>
        <v>0</v>
      </c>
      <c r="Y50" s="172">
        <f t="shared" si="11"/>
        <v>0</v>
      </c>
      <c r="Z50" s="171">
        <f t="shared" si="12"/>
        <v>0</v>
      </c>
      <c r="AA50" s="170">
        <f t="shared" si="13"/>
        <v>0</v>
      </c>
      <c r="AB50" s="171">
        <f t="shared" si="14"/>
        <v>0</v>
      </c>
      <c r="AC50" s="170">
        <f t="shared" si="15"/>
        <v>0</v>
      </c>
      <c r="AD50" s="171">
        <f t="shared" si="16"/>
        <v>0</v>
      </c>
      <c r="AE50" s="170">
        <f t="shared" si="17"/>
        <v>0</v>
      </c>
      <c r="AF50" s="176">
        <f t="shared" si="18"/>
        <v>0</v>
      </c>
      <c r="AG50" s="220">
        <f t="shared" si="19"/>
        <v>0</v>
      </c>
      <c r="AH50" s="174"/>
      <c r="AI50" s="173">
        <f t="shared" si="20"/>
        <v>0</v>
      </c>
    </row>
    <row r="51" spans="1:35" ht="39.65" customHeight="1" x14ac:dyDescent="0.35">
      <c r="A51" s="25" t="s">
        <v>309</v>
      </c>
      <c r="B51" s="225">
        <f>12.0107*8+1.00794*16</f>
        <v>112.21263999999999</v>
      </c>
      <c r="C51" s="505"/>
      <c r="D51" s="216">
        <v>0</v>
      </c>
      <c r="E51" s="224">
        <f t="shared" si="0"/>
        <v>0</v>
      </c>
      <c r="F51" s="113">
        <v>0</v>
      </c>
      <c r="G51" s="221">
        <f t="shared" si="1"/>
        <v>0</v>
      </c>
      <c r="H51" s="114">
        <v>0</v>
      </c>
      <c r="I51" s="221">
        <f t="shared" si="2"/>
        <v>0</v>
      </c>
      <c r="J51" s="114">
        <v>0</v>
      </c>
      <c r="K51" s="49">
        <f t="shared" si="3"/>
        <v>0</v>
      </c>
      <c r="L51" s="223">
        <v>0</v>
      </c>
      <c r="M51" s="221">
        <f t="shared" si="4"/>
        <v>0</v>
      </c>
      <c r="N51" s="113">
        <v>0</v>
      </c>
      <c r="O51" s="221">
        <f t="shared" si="5"/>
        <v>0</v>
      </c>
      <c r="P51" s="113">
        <v>0</v>
      </c>
      <c r="Q51" s="221">
        <f t="shared" si="6"/>
        <v>0</v>
      </c>
      <c r="R51" s="113">
        <v>0</v>
      </c>
      <c r="S51" s="221">
        <f t="shared" si="7"/>
        <v>0</v>
      </c>
      <c r="T51" s="113">
        <v>0</v>
      </c>
      <c r="U51" s="221">
        <f t="shared" si="8"/>
        <v>0</v>
      </c>
      <c r="V51" s="113">
        <v>0</v>
      </c>
      <c r="W51" s="221">
        <f t="shared" si="9"/>
        <v>0</v>
      </c>
      <c r="X51" s="171">
        <f t="shared" si="10"/>
        <v>0</v>
      </c>
      <c r="Y51" s="172">
        <f t="shared" si="11"/>
        <v>0</v>
      </c>
      <c r="Z51" s="171">
        <f t="shared" si="12"/>
        <v>0</v>
      </c>
      <c r="AA51" s="170">
        <f t="shared" si="13"/>
        <v>0</v>
      </c>
      <c r="AB51" s="171">
        <f t="shared" si="14"/>
        <v>0</v>
      </c>
      <c r="AC51" s="170">
        <f t="shared" si="15"/>
        <v>0</v>
      </c>
      <c r="AD51" s="171">
        <f t="shared" si="16"/>
        <v>0</v>
      </c>
      <c r="AE51" s="170">
        <f t="shared" si="17"/>
        <v>0</v>
      </c>
      <c r="AF51" s="176">
        <f t="shared" si="18"/>
        <v>0</v>
      </c>
      <c r="AG51" s="220">
        <f t="shared" si="19"/>
        <v>0</v>
      </c>
      <c r="AH51" s="174"/>
      <c r="AI51" s="173">
        <f t="shared" si="20"/>
        <v>0</v>
      </c>
    </row>
    <row r="52" spans="1:35" ht="39.65" customHeight="1" x14ac:dyDescent="0.35">
      <c r="A52" s="25" t="s">
        <v>308</v>
      </c>
      <c r="B52" s="225">
        <f>12.0107*8+1.00794*16</f>
        <v>112.21263999999999</v>
      </c>
      <c r="C52" s="505"/>
      <c r="D52" s="216">
        <v>0</v>
      </c>
      <c r="E52" s="224">
        <f t="shared" si="0"/>
        <v>0</v>
      </c>
      <c r="F52" s="113">
        <v>0</v>
      </c>
      <c r="G52" s="221">
        <f t="shared" si="1"/>
        <v>0</v>
      </c>
      <c r="H52" s="114">
        <v>0</v>
      </c>
      <c r="I52" s="221">
        <f t="shared" si="2"/>
        <v>0</v>
      </c>
      <c r="J52" s="114">
        <v>0</v>
      </c>
      <c r="K52" s="49">
        <f t="shared" si="3"/>
        <v>0</v>
      </c>
      <c r="L52" s="223">
        <v>0</v>
      </c>
      <c r="M52" s="221">
        <f t="shared" si="4"/>
        <v>0</v>
      </c>
      <c r="N52" s="113">
        <v>0</v>
      </c>
      <c r="O52" s="221">
        <f t="shared" si="5"/>
        <v>0</v>
      </c>
      <c r="P52" s="113">
        <v>0</v>
      </c>
      <c r="Q52" s="221">
        <f t="shared" si="6"/>
        <v>0</v>
      </c>
      <c r="R52" s="113">
        <v>0</v>
      </c>
      <c r="S52" s="221">
        <f t="shared" si="7"/>
        <v>0</v>
      </c>
      <c r="T52" s="113">
        <v>0</v>
      </c>
      <c r="U52" s="221">
        <f t="shared" si="8"/>
        <v>0</v>
      </c>
      <c r="V52" s="113">
        <v>0</v>
      </c>
      <c r="W52" s="221">
        <f t="shared" si="9"/>
        <v>0</v>
      </c>
      <c r="X52" s="171">
        <f t="shared" si="10"/>
        <v>0</v>
      </c>
      <c r="Y52" s="172">
        <f t="shared" si="11"/>
        <v>0</v>
      </c>
      <c r="Z52" s="171">
        <f t="shared" si="12"/>
        <v>0</v>
      </c>
      <c r="AA52" s="170">
        <f t="shared" si="13"/>
        <v>0</v>
      </c>
      <c r="AB52" s="171">
        <f t="shared" si="14"/>
        <v>0</v>
      </c>
      <c r="AC52" s="170">
        <f t="shared" si="15"/>
        <v>0</v>
      </c>
      <c r="AD52" s="171">
        <f t="shared" si="16"/>
        <v>0</v>
      </c>
      <c r="AE52" s="170">
        <f t="shared" si="17"/>
        <v>0</v>
      </c>
      <c r="AF52" s="176">
        <f t="shared" si="18"/>
        <v>0</v>
      </c>
      <c r="AG52" s="220">
        <f t="shared" si="19"/>
        <v>0</v>
      </c>
      <c r="AH52" s="174"/>
      <c r="AI52" s="173">
        <f t="shared" si="20"/>
        <v>0</v>
      </c>
    </row>
    <row r="53" spans="1:35" ht="39.65" customHeight="1" x14ac:dyDescent="0.35">
      <c r="A53" s="25" t="s">
        <v>307</v>
      </c>
      <c r="B53" s="225">
        <f>12.0107*8+1.00794*18</f>
        <v>114.22852</v>
      </c>
      <c r="C53" s="505"/>
      <c r="D53" s="216">
        <v>0</v>
      </c>
      <c r="E53" s="224">
        <f t="shared" si="0"/>
        <v>0</v>
      </c>
      <c r="F53" s="113">
        <v>0</v>
      </c>
      <c r="G53" s="221">
        <f t="shared" si="1"/>
        <v>0</v>
      </c>
      <c r="H53" s="114">
        <v>0</v>
      </c>
      <c r="I53" s="221">
        <f t="shared" si="2"/>
        <v>0</v>
      </c>
      <c r="J53" s="114">
        <v>0</v>
      </c>
      <c r="K53" s="49">
        <f t="shared" si="3"/>
        <v>0</v>
      </c>
      <c r="L53" s="223">
        <v>0</v>
      </c>
      <c r="M53" s="221">
        <f t="shared" si="4"/>
        <v>0</v>
      </c>
      <c r="N53" s="113">
        <v>0</v>
      </c>
      <c r="O53" s="221">
        <f t="shared" si="5"/>
        <v>0</v>
      </c>
      <c r="P53" s="113">
        <v>0</v>
      </c>
      <c r="Q53" s="221">
        <f t="shared" si="6"/>
        <v>0</v>
      </c>
      <c r="R53" s="113">
        <v>0</v>
      </c>
      <c r="S53" s="221">
        <f t="shared" si="7"/>
        <v>0</v>
      </c>
      <c r="T53" s="113">
        <v>0</v>
      </c>
      <c r="U53" s="221">
        <f t="shared" si="8"/>
        <v>0</v>
      </c>
      <c r="V53" s="113">
        <v>0</v>
      </c>
      <c r="W53" s="221">
        <f t="shared" si="9"/>
        <v>0</v>
      </c>
      <c r="X53" s="171">
        <f t="shared" si="10"/>
        <v>0</v>
      </c>
      <c r="Y53" s="172">
        <f t="shared" si="11"/>
        <v>0</v>
      </c>
      <c r="Z53" s="171">
        <f t="shared" si="12"/>
        <v>0</v>
      </c>
      <c r="AA53" s="170">
        <f t="shared" si="13"/>
        <v>0</v>
      </c>
      <c r="AB53" s="171">
        <f t="shared" si="14"/>
        <v>0</v>
      </c>
      <c r="AC53" s="170">
        <f t="shared" si="15"/>
        <v>0</v>
      </c>
      <c r="AD53" s="171">
        <f t="shared" si="16"/>
        <v>0</v>
      </c>
      <c r="AE53" s="170">
        <f t="shared" si="17"/>
        <v>0</v>
      </c>
      <c r="AF53" s="176">
        <f t="shared" si="18"/>
        <v>0</v>
      </c>
      <c r="AG53" s="220">
        <f t="shared" si="19"/>
        <v>0</v>
      </c>
      <c r="AH53" s="174"/>
      <c r="AI53" s="173">
        <f t="shared" si="20"/>
        <v>0</v>
      </c>
    </row>
    <row r="54" spans="1:35" ht="26.5" customHeight="1" x14ac:dyDescent="0.35">
      <c r="A54" s="25" t="s">
        <v>306</v>
      </c>
      <c r="B54" s="225">
        <f>12.0107*8+1.00794*16</f>
        <v>112.21263999999999</v>
      </c>
      <c r="C54" s="505"/>
      <c r="D54" s="216">
        <v>0</v>
      </c>
      <c r="E54" s="224">
        <f t="shared" si="0"/>
        <v>0</v>
      </c>
      <c r="F54" s="113">
        <v>0</v>
      </c>
      <c r="G54" s="221">
        <f t="shared" si="1"/>
        <v>0</v>
      </c>
      <c r="H54" s="114">
        <v>0</v>
      </c>
      <c r="I54" s="221">
        <f t="shared" si="2"/>
        <v>0</v>
      </c>
      <c r="J54" s="114">
        <v>0</v>
      </c>
      <c r="K54" s="49">
        <f t="shared" si="3"/>
        <v>0</v>
      </c>
      <c r="L54" s="223">
        <v>0</v>
      </c>
      <c r="M54" s="221">
        <f t="shared" si="4"/>
        <v>0</v>
      </c>
      <c r="N54" s="113">
        <v>0</v>
      </c>
      <c r="O54" s="221">
        <f t="shared" si="5"/>
        <v>0</v>
      </c>
      <c r="P54" s="113">
        <v>0</v>
      </c>
      <c r="Q54" s="221">
        <f t="shared" si="6"/>
        <v>0</v>
      </c>
      <c r="R54" s="113">
        <v>0</v>
      </c>
      <c r="S54" s="221">
        <f t="shared" si="7"/>
        <v>0</v>
      </c>
      <c r="T54" s="113">
        <v>0</v>
      </c>
      <c r="U54" s="221">
        <f t="shared" si="8"/>
        <v>0</v>
      </c>
      <c r="V54" s="113">
        <v>0</v>
      </c>
      <c r="W54" s="221">
        <f t="shared" si="9"/>
        <v>0</v>
      </c>
      <c r="X54" s="171">
        <f t="shared" si="10"/>
        <v>0</v>
      </c>
      <c r="Y54" s="172">
        <f t="shared" si="11"/>
        <v>0</v>
      </c>
      <c r="Z54" s="171">
        <f t="shared" si="12"/>
        <v>0</v>
      </c>
      <c r="AA54" s="170">
        <f t="shared" si="13"/>
        <v>0</v>
      </c>
      <c r="AB54" s="171">
        <f t="shared" si="14"/>
        <v>0</v>
      </c>
      <c r="AC54" s="170">
        <f t="shared" si="15"/>
        <v>0</v>
      </c>
      <c r="AD54" s="171">
        <f t="shared" si="16"/>
        <v>0</v>
      </c>
      <c r="AE54" s="170">
        <f t="shared" si="17"/>
        <v>0</v>
      </c>
      <c r="AF54" s="176">
        <f t="shared" si="18"/>
        <v>0</v>
      </c>
      <c r="AG54" s="220">
        <f t="shared" si="19"/>
        <v>0</v>
      </c>
      <c r="AH54" s="174"/>
      <c r="AI54" s="173">
        <f t="shared" si="20"/>
        <v>0</v>
      </c>
    </row>
    <row r="55" spans="1:35" ht="39.65" customHeight="1" thickBot="1" x14ac:dyDescent="0.4">
      <c r="A55" s="25" t="s">
        <v>146</v>
      </c>
      <c r="B55" s="225">
        <f>12.0107*8+1.00794*18</f>
        <v>114.22852</v>
      </c>
      <c r="C55" s="505"/>
      <c r="D55" s="216">
        <v>0</v>
      </c>
      <c r="E55" s="224">
        <f t="shared" si="0"/>
        <v>0</v>
      </c>
      <c r="F55" s="222">
        <v>9.0000000000000002E-6</v>
      </c>
      <c r="G55" s="221">
        <f t="shared" si="1"/>
        <v>2.3948908994145825E-3</v>
      </c>
      <c r="H55" s="114">
        <v>0</v>
      </c>
      <c r="I55" s="221">
        <f t="shared" si="2"/>
        <v>0</v>
      </c>
      <c r="J55" s="114">
        <v>0</v>
      </c>
      <c r="K55" s="49">
        <f t="shared" si="3"/>
        <v>0</v>
      </c>
      <c r="L55" s="223">
        <v>0</v>
      </c>
      <c r="M55" s="221">
        <f t="shared" si="4"/>
        <v>0</v>
      </c>
      <c r="N55" s="222">
        <v>8.6000000000000003E-5</v>
      </c>
      <c r="O55" s="221">
        <f t="shared" si="5"/>
        <v>2.6708074534161495E-2</v>
      </c>
      <c r="P55" s="222">
        <v>5.5000000000000002E-5</v>
      </c>
      <c r="Q55" s="221">
        <f t="shared" si="6"/>
        <v>2.6816187225743547E-2</v>
      </c>
      <c r="R55" s="222">
        <v>8.0000000000000007E-5</v>
      </c>
      <c r="S55" s="221">
        <f t="shared" si="7"/>
        <v>2.12879191059074E-2</v>
      </c>
      <c r="T55" s="222">
        <v>1.8799999999999999E-4</v>
      </c>
      <c r="U55" s="221">
        <f t="shared" si="8"/>
        <v>2.6670449709178611E-2</v>
      </c>
      <c r="V55" s="222">
        <v>7.1000000000000005E-5</v>
      </c>
      <c r="W55" s="221">
        <f t="shared" si="9"/>
        <v>2.6772247360482657E-2</v>
      </c>
      <c r="X55" s="171">
        <f t="shared" si="10"/>
        <v>0</v>
      </c>
      <c r="Y55" s="172">
        <f t="shared" si="11"/>
        <v>0</v>
      </c>
      <c r="Z55" s="171">
        <f t="shared" si="12"/>
        <v>1.8799999999999999E-4</v>
      </c>
      <c r="AA55" s="170">
        <f t="shared" si="13"/>
        <v>2.6816187225743547E-2</v>
      </c>
      <c r="AB55" s="171">
        <f t="shared" si="14"/>
        <v>5.5000000000000002E-5</v>
      </c>
      <c r="AC55" s="170">
        <f t="shared" si="15"/>
        <v>2.12879191059074E-2</v>
      </c>
      <c r="AD55" s="171">
        <f t="shared" si="16"/>
        <v>5.433333333333333E-5</v>
      </c>
      <c r="AE55" s="170">
        <f t="shared" si="17"/>
        <v>1.4516640981654252E-2</v>
      </c>
      <c r="AF55" s="176">
        <f t="shared" si="18"/>
        <v>5.8421837621826909E-5</v>
      </c>
      <c r="AG55" s="220">
        <f t="shared" si="19"/>
        <v>1.2573386677320188E-2</v>
      </c>
      <c r="AH55" s="174"/>
      <c r="AI55" s="173">
        <f t="shared" si="20"/>
        <v>1.4843153494210962E-2</v>
      </c>
    </row>
    <row r="56" spans="1:35" ht="39.65" customHeight="1" thickBot="1" x14ac:dyDescent="0.4">
      <c r="A56" s="219" t="s">
        <v>305</v>
      </c>
      <c r="B56" s="218">
        <f>12.0107*8+1.00794*16</f>
        <v>112.21263999999999</v>
      </c>
      <c r="C56" s="505"/>
      <c r="D56" s="216">
        <v>0</v>
      </c>
      <c r="E56" s="217">
        <f t="shared" si="0"/>
        <v>0</v>
      </c>
      <c r="F56" s="215">
        <v>0</v>
      </c>
      <c r="G56" s="199">
        <f t="shared" si="1"/>
        <v>0</v>
      </c>
      <c r="H56" s="133">
        <v>0</v>
      </c>
      <c r="I56" s="199">
        <f t="shared" si="2"/>
        <v>0</v>
      </c>
      <c r="J56" s="133">
        <v>0</v>
      </c>
      <c r="K56" s="199">
        <f t="shared" si="3"/>
        <v>0</v>
      </c>
      <c r="L56" s="216">
        <v>0</v>
      </c>
      <c r="M56" s="199">
        <f t="shared" si="4"/>
        <v>0</v>
      </c>
      <c r="N56" s="215">
        <v>0</v>
      </c>
      <c r="O56" s="199">
        <f t="shared" si="5"/>
        <v>0</v>
      </c>
      <c r="P56" s="215">
        <v>0</v>
      </c>
      <c r="Q56" s="199">
        <f t="shared" si="6"/>
        <v>0</v>
      </c>
      <c r="R56" s="215">
        <v>0</v>
      </c>
      <c r="S56" s="199">
        <f t="shared" si="7"/>
        <v>0</v>
      </c>
      <c r="T56" s="215">
        <v>0</v>
      </c>
      <c r="U56" s="199">
        <f t="shared" si="8"/>
        <v>0</v>
      </c>
      <c r="V56" s="215">
        <v>0</v>
      </c>
      <c r="W56" s="199">
        <f t="shared" si="9"/>
        <v>0</v>
      </c>
      <c r="X56" s="171">
        <f t="shared" ref="X56:X62" si="21">SUM(F56:W56)</f>
        <v>0</v>
      </c>
      <c r="Y56" s="192"/>
      <c r="Z56" s="169"/>
      <c r="AA56" s="168"/>
      <c r="AB56" s="169"/>
      <c r="AC56" s="168"/>
      <c r="AD56" s="169"/>
      <c r="AE56" s="168"/>
      <c r="AF56" s="191"/>
      <c r="AG56" s="190"/>
      <c r="AH56" s="174"/>
      <c r="AI56" s="189"/>
    </row>
    <row r="57" spans="1:35" ht="40.15" customHeight="1" thickBot="1" x14ac:dyDescent="0.4">
      <c r="A57" s="27" t="s">
        <v>304</v>
      </c>
      <c r="B57" s="210">
        <f>12.0107*8+1.00794*16</f>
        <v>112.21263999999999</v>
      </c>
      <c r="C57" s="505"/>
      <c r="D57" s="206">
        <v>0</v>
      </c>
      <c r="E57" s="209">
        <f t="shared" si="0"/>
        <v>0</v>
      </c>
      <c r="F57" s="205">
        <v>0</v>
      </c>
      <c r="G57" s="199">
        <f t="shared" si="1"/>
        <v>0</v>
      </c>
      <c r="H57" s="208">
        <v>0</v>
      </c>
      <c r="I57" s="199">
        <f t="shared" si="2"/>
        <v>0</v>
      </c>
      <c r="J57" s="208">
        <v>0</v>
      </c>
      <c r="K57" s="199">
        <f t="shared" si="3"/>
        <v>0</v>
      </c>
      <c r="L57" s="206">
        <v>0</v>
      </c>
      <c r="M57" s="199">
        <f t="shared" si="4"/>
        <v>0</v>
      </c>
      <c r="N57" s="205">
        <v>0</v>
      </c>
      <c r="O57" s="199">
        <f t="shared" si="5"/>
        <v>0</v>
      </c>
      <c r="P57" s="205">
        <v>0</v>
      </c>
      <c r="Q57" s="199">
        <f t="shared" si="6"/>
        <v>0</v>
      </c>
      <c r="R57" s="205">
        <v>0</v>
      </c>
      <c r="S57" s="199">
        <f t="shared" si="7"/>
        <v>0</v>
      </c>
      <c r="T57" s="205">
        <v>0</v>
      </c>
      <c r="U57" s="199">
        <f t="shared" si="8"/>
        <v>0</v>
      </c>
      <c r="V57" s="205">
        <v>0</v>
      </c>
      <c r="W57" s="199">
        <f t="shared" si="9"/>
        <v>0</v>
      </c>
      <c r="X57" s="171">
        <f t="shared" si="21"/>
        <v>0</v>
      </c>
      <c r="Y57" s="192"/>
      <c r="Z57" s="169"/>
      <c r="AA57" s="168"/>
      <c r="AB57" s="169"/>
      <c r="AC57" s="168"/>
      <c r="AD57" s="169"/>
      <c r="AE57" s="168"/>
      <c r="AF57" s="191"/>
      <c r="AG57" s="190"/>
      <c r="AH57" s="174"/>
      <c r="AI57" s="189"/>
    </row>
    <row r="58" spans="1:35" ht="15" thickBot="1" x14ac:dyDescent="0.4">
      <c r="A58" s="23" t="s">
        <v>201</v>
      </c>
      <c r="B58" s="214">
        <f>12.0107*9+1.00794*20</f>
        <v>128.2551</v>
      </c>
      <c r="C58" s="505"/>
      <c r="D58" s="211">
        <v>0</v>
      </c>
      <c r="E58" s="213">
        <f t="shared" si="0"/>
        <v>0</v>
      </c>
      <c r="F58" s="112">
        <v>0</v>
      </c>
      <c r="G58" s="199">
        <f t="shared" si="1"/>
        <v>0</v>
      </c>
      <c r="H58" s="212">
        <v>0</v>
      </c>
      <c r="I58" s="199">
        <f t="shared" si="2"/>
        <v>0</v>
      </c>
      <c r="J58" s="212">
        <v>0</v>
      </c>
      <c r="K58" s="199">
        <f t="shared" si="3"/>
        <v>0</v>
      </c>
      <c r="L58" s="211">
        <v>0</v>
      </c>
      <c r="M58" s="199">
        <f t="shared" si="4"/>
        <v>0</v>
      </c>
      <c r="N58" s="112">
        <v>0</v>
      </c>
      <c r="O58" s="199">
        <f t="shared" si="5"/>
        <v>0</v>
      </c>
      <c r="P58" s="112">
        <v>0</v>
      </c>
      <c r="Q58" s="199">
        <f t="shared" si="6"/>
        <v>0</v>
      </c>
      <c r="R58" s="112">
        <v>0</v>
      </c>
      <c r="S58" s="199">
        <f t="shared" si="7"/>
        <v>0</v>
      </c>
      <c r="T58" s="112">
        <v>0</v>
      </c>
      <c r="U58" s="199">
        <f t="shared" si="8"/>
        <v>0</v>
      </c>
      <c r="V58" s="112">
        <v>0</v>
      </c>
      <c r="W58" s="199">
        <f t="shared" si="9"/>
        <v>0</v>
      </c>
      <c r="X58" s="171">
        <f t="shared" si="21"/>
        <v>0</v>
      </c>
      <c r="Y58" s="192"/>
      <c r="Z58" s="169"/>
      <c r="AA58" s="168"/>
      <c r="AB58" s="169"/>
      <c r="AC58" s="168"/>
      <c r="AD58" s="169"/>
      <c r="AE58" s="168"/>
      <c r="AF58" s="191"/>
      <c r="AG58" s="190"/>
      <c r="AH58" s="174"/>
      <c r="AI58" s="189"/>
    </row>
    <row r="59" spans="1:35" ht="40.15" customHeight="1" thickBot="1" x14ac:dyDescent="0.4">
      <c r="A59" s="27" t="s">
        <v>303</v>
      </c>
      <c r="B59" s="210">
        <f>12.0107*9+1.00794*20</f>
        <v>128.2551</v>
      </c>
      <c r="C59" s="505"/>
      <c r="D59" s="206">
        <v>0</v>
      </c>
      <c r="E59" s="209">
        <f t="shared" si="0"/>
        <v>0</v>
      </c>
      <c r="F59" s="205">
        <v>0</v>
      </c>
      <c r="G59" s="199">
        <f t="shared" si="1"/>
        <v>0</v>
      </c>
      <c r="H59" s="208">
        <v>0</v>
      </c>
      <c r="I59" s="199">
        <f t="shared" si="2"/>
        <v>0</v>
      </c>
      <c r="J59" s="207">
        <v>0</v>
      </c>
      <c r="K59" s="199">
        <f t="shared" si="3"/>
        <v>0</v>
      </c>
      <c r="L59" s="206">
        <v>0</v>
      </c>
      <c r="M59" s="199">
        <f t="shared" si="4"/>
        <v>0</v>
      </c>
      <c r="N59" s="205">
        <v>0</v>
      </c>
      <c r="O59" s="199">
        <f t="shared" si="5"/>
        <v>0</v>
      </c>
      <c r="P59" s="205">
        <v>0</v>
      </c>
      <c r="Q59" s="199">
        <f t="shared" si="6"/>
        <v>0</v>
      </c>
      <c r="R59" s="205">
        <v>0</v>
      </c>
      <c r="S59" s="199">
        <f t="shared" si="7"/>
        <v>0</v>
      </c>
      <c r="T59" s="205">
        <v>0</v>
      </c>
      <c r="U59" s="199">
        <f t="shared" si="8"/>
        <v>0</v>
      </c>
      <c r="V59" s="205">
        <v>0</v>
      </c>
      <c r="W59" s="199">
        <f t="shared" si="9"/>
        <v>0</v>
      </c>
      <c r="X59" s="171">
        <f t="shared" si="21"/>
        <v>0</v>
      </c>
      <c r="Y59" s="192"/>
      <c r="Z59" s="169"/>
      <c r="AA59" s="168"/>
      <c r="AB59" s="169"/>
      <c r="AC59" s="168"/>
      <c r="AD59" s="169"/>
      <c r="AE59" s="168"/>
      <c r="AF59" s="191"/>
      <c r="AG59" s="190"/>
      <c r="AH59" s="174"/>
      <c r="AI59" s="189"/>
    </row>
    <row r="60" spans="1:35" ht="15" thickBot="1" x14ac:dyDescent="0.4">
      <c r="A60" s="28" t="s">
        <v>202</v>
      </c>
      <c r="B60" s="204">
        <f>12.0107*10+1.00794*22</f>
        <v>142.28167999999999</v>
      </c>
      <c r="C60" s="505"/>
      <c r="D60" s="201">
        <v>0</v>
      </c>
      <c r="E60" s="203">
        <f t="shared" si="0"/>
        <v>0</v>
      </c>
      <c r="F60" s="200">
        <v>0</v>
      </c>
      <c r="G60" s="199">
        <f t="shared" si="1"/>
        <v>0</v>
      </c>
      <c r="H60" s="202">
        <v>0</v>
      </c>
      <c r="I60" s="199">
        <f t="shared" si="2"/>
        <v>0</v>
      </c>
      <c r="J60" s="202">
        <v>0</v>
      </c>
      <c r="K60" s="199">
        <f t="shared" si="3"/>
        <v>0</v>
      </c>
      <c r="L60" s="201">
        <v>0</v>
      </c>
      <c r="M60" s="199">
        <f t="shared" si="4"/>
        <v>0</v>
      </c>
      <c r="N60" s="200">
        <v>0</v>
      </c>
      <c r="O60" s="199">
        <f t="shared" si="5"/>
        <v>0</v>
      </c>
      <c r="P60" s="200">
        <v>0</v>
      </c>
      <c r="Q60" s="199">
        <f t="shared" si="6"/>
        <v>0</v>
      </c>
      <c r="R60" s="200">
        <v>0</v>
      </c>
      <c r="S60" s="199">
        <f t="shared" si="7"/>
        <v>0</v>
      </c>
      <c r="T60" s="200">
        <v>0</v>
      </c>
      <c r="U60" s="199">
        <f t="shared" si="8"/>
        <v>0</v>
      </c>
      <c r="V60" s="200">
        <v>0</v>
      </c>
      <c r="W60" s="199">
        <f t="shared" si="9"/>
        <v>0</v>
      </c>
      <c r="X60" s="171">
        <f t="shared" si="21"/>
        <v>0</v>
      </c>
      <c r="Y60" s="192"/>
      <c r="Z60" s="169"/>
      <c r="AA60" s="168"/>
      <c r="AB60" s="169"/>
      <c r="AC60" s="168"/>
      <c r="AD60" s="169"/>
      <c r="AE60" s="168"/>
      <c r="AF60" s="191"/>
      <c r="AG60" s="190"/>
      <c r="AH60" s="174"/>
      <c r="AI60" s="189"/>
    </row>
    <row r="61" spans="1:35" ht="15" thickBot="1" x14ac:dyDescent="0.4">
      <c r="A61" s="28" t="s">
        <v>162</v>
      </c>
      <c r="B61" s="204">
        <f>12.0107*11+1.00794*24</f>
        <v>156.30826000000002</v>
      </c>
      <c r="C61" s="505"/>
      <c r="D61" s="201">
        <v>0</v>
      </c>
      <c r="E61" s="203">
        <f t="shared" si="0"/>
        <v>0</v>
      </c>
      <c r="F61" s="200">
        <v>0</v>
      </c>
      <c r="G61" s="199">
        <f t="shared" si="1"/>
        <v>0</v>
      </c>
      <c r="H61" s="202">
        <v>0</v>
      </c>
      <c r="I61" s="199">
        <f t="shared" si="2"/>
        <v>0</v>
      </c>
      <c r="J61" s="202">
        <v>0</v>
      </c>
      <c r="K61" s="199">
        <f t="shared" si="3"/>
        <v>0</v>
      </c>
      <c r="L61" s="201">
        <v>0</v>
      </c>
      <c r="M61" s="199">
        <f t="shared" si="4"/>
        <v>0</v>
      </c>
      <c r="N61" s="200">
        <v>0</v>
      </c>
      <c r="O61" s="199">
        <f t="shared" si="5"/>
        <v>0</v>
      </c>
      <c r="P61" s="200">
        <v>0</v>
      </c>
      <c r="Q61" s="199">
        <f t="shared" si="6"/>
        <v>0</v>
      </c>
      <c r="R61" s="200">
        <v>0</v>
      </c>
      <c r="S61" s="199">
        <f t="shared" si="7"/>
        <v>0</v>
      </c>
      <c r="T61" s="200">
        <v>0</v>
      </c>
      <c r="U61" s="199">
        <f t="shared" si="8"/>
        <v>0</v>
      </c>
      <c r="V61" s="200">
        <v>0</v>
      </c>
      <c r="W61" s="199">
        <f t="shared" si="9"/>
        <v>0</v>
      </c>
      <c r="X61" s="171">
        <f t="shared" si="21"/>
        <v>0</v>
      </c>
      <c r="Y61" s="192"/>
      <c r="Z61" s="169"/>
      <c r="AA61" s="168"/>
      <c r="AB61" s="169"/>
      <c r="AC61" s="168"/>
      <c r="AD61" s="169"/>
      <c r="AE61" s="168"/>
      <c r="AF61" s="191"/>
      <c r="AG61" s="190"/>
      <c r="AH61" s="174"/>
      <c r="AI61" s="189"/>
    </row>
    <row r="62" spans="1:35" ht="15" thickBot="1" x14ac:dyDescent="0.4">
      <c r="A62" s="188" t="s">
        <v>302</v>
      </c>
      <c r="B62" s="198">
        <f>12.0107*12+1.00794*26</f>
        <v>170.33483999999999</v>
      </c>
      <c r="C62" s="506"/>
      <c r="D62" s="195">
        <v>0</v>
      </c>
      <c r="E62" s="197">
        <f t="shared" si="0"/>
        <v>0</v>
      </c>
      <c r="F62" s="194">
        <v>0</v>
      </c>
      <c r="G62" s="193">
        <f t="shared" si="1"/>
        <v>0</v>
      </c>
      <c r="H62" s="196">
        <v>0</v>
      </c>
      <c r="I62" s="193">
        <f t="shared" si="2"/>
        <v>0</v>
      </c>
      <c r="J62" s="194">
        <v>0</v>
      </c>
      <c r="K62" s="193">
        <f t="shared" si="3"/>
        <v>0</v>
      </c>
      <c r="L62" s="195">
        <v>0</v>
      </c>
      <c r="M62" s="193">
        <f t="shared" si="4"/>
        <v>0</v>
      </c>
      <c r="N62" s="194">
        <v>0</v>
      </c>
      <c r="O62" s="193">
        <f t="shared" si="5"/>
        <v>0</v>
      </c>
      <c r="P62" s="194">
        <v>0</v>
      </c>
      <c r="Q62" s="193">
        <f t="shared" si="6"/>
        <v>0</v>
      </c>
      <c r="R62" s="194">
        <v>0</v>
      </c>
      <c r="S62" s="193">
        <f t="shared" si="7"/>
        <v>0</v>
      </c>
      <c r="T62" s="194">
        <v>0</v>
      </c>
      <c r="U62" s="193">
        <f t="shared" si="8"/>
        <v>0</v>
      </c>
      <c r="V62" s="194">
        <v>0</v>
      </c>
      <c r="W62" s="193">
        <f t="shared" si="9"/>
        <v>0</v>
      </c>
      <c r="X62" s="171">
        <f t="shared" si="21"/>
        <v>0</v>
      </c>
      <c r="Y62" s="192"/>
      <c r="Z62" s="169"/>
      <c r="AA62" s="168"/>
      <c r="AB62" s="169"/>
      <c r="AC62" s="168"/>
      <c r="AD62" s="169"/>
      <c r="AE62" s="168"/>
      <c r="AF62" s="191"/>
      <c r="AG62" s="190"/>
      <c r="AH62" s="174"/>
      <c r="AI62" s="189"/>
    </row>
    <row r="63" spans="1:35" ht="26.5" x14ac:dyDescent="0.35">
      <c r="A63" s="188" t="s">
        <v>301</v>
      </c>
      <c r="B63" s="187"/>
      <c r="C63" s="187"/>
      <c r="D63" s="186">
        <f>SUM(D19:D62)</f>
        <v>1.5269999999999999E-3</v>
      </c>
      <c r="E63" s="186">
        <f t="shared" ref="E63:W63" si="22">SUM(E19:E55)</f>
        <v>1</v>
      </c>
      <c r="F63" s="186">
        <f t="shared" si="22"/>
        <v>3.7579999999999996E-3</v>
      </c>
      <c r="G63" s="186">
        <f t="shared" si="22"/>
        <v>0.99999999999999989</v>
      </c>
      <c r="H63" s="186">
        <f t="shared" si="22"/>
        <v>2.8E-5</v>
      </c>
      <c r="I63" s="186">
        <f t="shared" si="22"/>
        <v>1</v>
      </c>
      <c r="J63" s="186">
        <f t="shared" si="22"/>
        <v>1.3999999999999998E-5</v>
      </c>
      <c r="K63" s="186">
        <f t="shared" si="22"/>
        <v>1.0000000000000002</v>
      </c>
      <c r="L63" s="186">
        <f t="shared" si="22"/>
        <v>1.5269999999999999E-3</v>
      </c>
      <c r="M63" s="186">
        <f t="shared" si="22"/>
        <v>1</v>
      </c>
      <c r="N63" s="186">
        <f t="shared" si="22"/>
        <v>3.2199999999999998E-3</v>
      </c>
      <c r="O63" s="186">
        <f t="shared" si="22"/>
        <v>1</v>
      </c>
      <c r="P63" s="186">
        <f t="shared" si="22"/>
        <v>2.0509999999999994E-3</v>
      </c>
      <c r="Q63" s="186">
        <f t="shared" si="22"/>
        <v>1.0000000000000002</v>
      </c>
      <c r="R63" s="186">
        <f t="shared" si="22"/>
        <v>3.0140000000000002E-3</v>
      </c>
      <c r="S63" s="186">
        <f t="shared" si="22"/>
        <v>0.80202235231506136</v>
      </c>
      <c r="T63" s="186">
        <f t="shared" si="22"/>
        <v>7.0489999999999988E-3</v>
      </c>
      <c r="U63" s="186">
        <f t="shared" si="22"/>
        <v>1</v>
      </c>
      <c r="V63" s="186">
        <f t="shared" si="22"/>
        <v>2.6519999999999998E-3</v>
      </c>
      <c r="W63" s="186">
        <f t="shared" si="22"/>
        <v>1</v>
      </c>
      <c r="X63" s="184">
        <f>MIN(F63,H63,J63,L63,N63,P63,R63,T63,V63)</f>
        <v>1.3999999999999998E-5</v>
      </c>
      <c r="Y63" s="185"/>
      <c r="Z63" s="184">
        <f>MAX(F63,H63,J63,L63,N63,P63,R63,T63,V63)</f>
        <v>7.0489999999999988E-3</v>
      </c>
      <c r="AA63" s="183"/>
      <c r="AB63" s="184">
        <f>MEDIAN(F63,H63,J63,L63,N63,P63,R63,T63,V63)</f>
        <v>2.6519999999999998E-3</v>
      </c>
      <c r="AC63" s="183"/>
      <c r="AD63" s="184">
        <f>AVERAGE(F63,H63,J63,L63,N63,P63,R63,T63,V63)</f>
        <v>2.5903333333333334E-3</v>
      </c>
      <c r="AE63" s="183"/>
      <c r="AF63" s="182">
        <f>_xlfn.STDEV.P(F63,H63,J63,L63,N63,P63,R63,T63,V63)</f>
        <v>2.0123931027510502E-3</v>
      </c>
      <c r="AG63" s="181"/>
      <c r="AH63" s="180"/>
      <c r="AI63" s="179"/>
    </row>
    <row r="64" spans="1:35" x14ac:dyDescent="0.35">
      <c r="A64" s="32" t="s">
        <v>300</v>
      </c>
      <c r="X64" s="171">
        <f>SUM(X19:X62)</f>
        <v>3.0000000000000001E-6</v>
      </c>
      <c r="Y64" s="178"/>
      <c r="Z64" s="171">
        <f>SUM(Z19:Z62)</f>
        <v>8.1799999999999998E-3</v>
      </c>
      <c r="AA64" s="177"/>
      <c r="AB64" s="171">
        <f>SUM(AB19:AB62)</f>
        <v>2.2289999999999996E-3</v>
      </c>
      <c r="AC64" s="177">
        <f>SUM(AC19:AC62)</f>
        <v>0.99411055094128142</v>
      </c>
      <c r="AD64" s="171"/>
      <c r="AE64" s="177">
        <f>SUM(AE19:AE62)</f>
        <v>0.97800248359056219</v>
      </c>
      <c r="AF64" s="176"/>
      <c r="AG64" s="175"/>
      <c r="AH64" s="174"/>
      <c r="AI64" s="173">
        <f>SUM(AI19:AI62)</f>
        <v>1.0000000000000004</v>
      </c>
    </row>
    <row r="65" spans="1:35" x14ac:dyDescent="0.35">
      <c r="A65" s="32" t="s">
        <v>299</v>
      </c>
      <c r="D65" s="24">
        <f t="shared" ref="D65:AE65" si="23">D41+D39+D29+D21</f>
        <v>1.0999999999999999E-4</v>
      </c>
      <c r="E65" s="24">
        <f t="shared" si="23"/>
        <v>7.2036673215455149E-2</v>
      </c>
      <c r="F65" s="24">
        <f t="shared" si="23"/>
        <v>1.0528389830508475E-4</v>
      </c>
      <c r="G65" s="24">
        <f t="shared" si="23"/>
        <v>2.8015938878415317E-2</v>
      </c>
      <c r="H65" s="24">
        <f t="shared" si="23"/>
        <v>0</v>
      </c>
      <c r="I65" s="24">
        <f t="shared" si="23"/>
        <v>0</v>
      </c>
      <c r="J65" s="24">
        <f t="shared" si="23"/>
        <v>6.0000000000000002E-6</v>
      </c>
      <c r="K65" s="24">
        <f t="shared" si="23"/>
        <v>0.4285714285714286</v>
      </c>
      <c r="L65" s="24">
        <f t="shared" si="23"/>
        <v>1.0266666666666666E-4</v>
      </c>
      <c r="M65" s="24">
        <f t="shared" si="23"/>
        <v>6.72342283344248E-2</v>
      </c>
      <c r="N65" s="24">
        <f t="shared" si="23"/>
        <v>2.1166666666666667E-4</v>
      </c>
      <c r="O65" s="24">
        <f t="shared" si="23"/>
        <v>6.5734989648033135E-2</v>
      </c>
      <c r="P65" s="24">
        <f t="shared" si="23"/>
        <v>1.34E-4</v>
      </c>
      <c r="Q65" s="24">
        <f t="shared" si="23"/>
        <v>6.5333983422720648E-2</v>
      </c>
      <c r="R65" s="24">
        <f t="shared" si="23"/>
        <v>1.9733333333333332E-4</v>
      </c>
      <c r="S65" s="24">
        <f t="shared" si="23"/>
        <v>5.2510200461238256E-2</v>
      </c>
      <c r="T65" s="24">
        <f t="shared" si="23"/>
        <v>4.6100000000000004E-4</v>
      </c>
      <c r="U65" s="24">
        <f t="shared" si="23"/>
        <v>6.5399347425166704E-2</v>
      </c>
      <c r="V65" s="24">
        <f t="shared" si="23"/>
        <v>1.7433333333333333E-4</v>
      </c>
      <c r="W65" s="24">
        <f t="shared" si="23"/>
        <v>6.573655103066868E-2</v>
      </c>
      <c r="X65" s="171">
        <f t="shared" si="23"/>
        <v>0</v>
      </c>
      <c r="Y65" s="172">
        <f t="shared" si="23"/>
        <v>0</v>
      </c>
      <c r="Z65" s="171">
        <f t="shared" si="23"/>
        <v>4.6100000000000004E-4</v>
      </c>
      <c r="AA65" s="170">
        <f t="shared" si="23"/>
        <v>0.465286118525155</v>
      </c>
      <c r="AB65" s="171">
        <f t="shared" si="23"/>
        <v>1.5300000000000001E-4</v>
      </c>
      <c r="AC65" s="170">
        <f t="shared" si="23"/>
        <v>6.5375792564880714E-2</v>
      </c>
      <c r="AD65" s="171">
        <f t="shared" si="23"/>
        <v>1.546982109227872E-4</v>
      </c>
      <c r="AE65" s="170">
        <f t="shared" si="23"/>
        <v>9.3170740863566248E-2</v>
      </c>
      <c r="AF65" s="169"/>
      <c r="AG65" s="168"/>
      <c r="AI65" s="167">
        <f>AI41+AI39+AI29+AI21</f>
        <v>9.5266364274972426E-2</v>
      </c>
    </row>
  </sheetData>
  <mergeCells count="18">
    <mergeCell ref="C19:C62"/>
    <mergeCell ref="P1:Q1"/>
    <mergeCell ref="F1:G1"/>
    <mergeCell ref="H1:I1"/>
    <mergeCell ref="J1:K1"/>
    <mergeCell ref="L1:M1"/>
    <mergeCell ref="N1:O1"/>
    <mergeCell ref="A1:A2"/>
    <mergeCell ref="B1:B2"/>
    <mergeCell ref="C1:E1"/>
    <mergeCell ref="X1:Y1"/>
    <mergeCell ref="Z1:AA1"/>
    <mergeCell ref="AB1:AC1"/>
    <mergeCell ref="AD1:AE1"/>
    <mergeCell ref="AF1:AG1"/>
    <mergeCell ref="R1:S1"/>
    <mergeCell ref="T1:U1"/>
    <mergeCell ref="V1:W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V7"/>
  <sheetViews>
    <sheetView tabSelected="1" workbookViewId="0">
      <pane xSplit="2" ySplit="1" topLeftCell="AN2" activePane="bottomRight" state="frozen"/>
      <selection pane="topRight" activeCell="C1" sqref="C1"/>
      <selection pane="bottomLeft" activeCell="A3" sqref="A3"/>
      <selection pane="bottomRight" activeCell="AV4" sqref="AV4"/>
    </sheetView>
  </sheetViews>
  <sheetFormatPr defaultColWidth="9.1796875" defaultRowHeight="14.5" x14ac:dyDescent="0.35"/>
  <cols>
    <col min="1" max="1" width="13.7265625" style="3" customWidth="1"/>
    <col min="2" max="2" width="65.1796875" style="3" customWidth="1"/>
    <col min="3" max="3" width="13.26953125" style="3" customWidth="1"/>
    <col min="4" max="4" width="10.81640625" style="3" customWidth="1"/>
    <col min="5" max="6" width="13.26953125" style="3" customWidth="1"/>
    <col min="7" max="8" width="9.1796875" style="3"/>
    <col min="9" max="9" width="10.54296875" style="3" bestFit="1" customWidth="1"/>
    <col min="10" max="10" width="16.54296875" style="3" customWidth="1"/>
    <col min="11" max="11" width="9.1796875" style="3"/>
    <col min="12" max="12" width="11.453125" style="3" customWidth="1"/>
    <col min="13" max="20" width="9.1796875" style="3"/>
    <col min="21" max="21" width="18.81640625" style="3" customWidth="1"/>
    <col min="22" max="33" width="9.1796875" style="3"/>
    <col min="34" max="34" width="21.1796875" style="3" customWidth="1"/>
    <col min="35" max="39" width="9.1796875" style="3"/>
    <col min="40" max="40" width="10.7265625" style="3" bestFit="1" customWidth="1"/>
    <col min="41" max="43" width="9.1796875" style="3"/>
    <col min="44" max="44" width="10.7265625" style="3" bestFit="1" customWidth="1"/>
    <col min="45" max="45" width="9.1796875" style="3"/>
    <col min="46" max="46" width="10" style="3" customWidth="1"/>
    <col min="47" max="16384" width="9.1796875" style="3"/>
  </cols>
  <sheetData>
    <row r="1" spans="1:48" customFormat="1" x14ac:dyDescent="0.35">
      <c r="A1" s="4" t="s">
        <v>5</v>
      </c>
      <c r="B1" s="5" t="s">
        <v>6</v>
      </c>
      <c r="C1" s="5" t="s">
        <v>7</v>
      </c>
      <c r="D1" s="4" t="s">
        <v>8</v>
      </c>
      <c r="E1" s="5" t="s">
        <v>9</v>
      </c>
      <c r="F1" s="19" t="s">
        <v>66</v>
      </c>
      <c r="G1" s="5" t="s">
        <v>10</v>
      </c>
      <c r="H1" s="5" t="s">
        <v>11</v>
      </c>
      <c r="I1" s="5" t="s">
        <v>12</v>
      </c>
      <c r="J1" s="5" t="s">
        <v>13</v>
      </c>
      <c r="K1" s="5" t="s">
        <v>14</v>
      </c>
      <c r="L1" s="5" t="s">
        <v>15</v>
      </c>
      <c r="M1" s="5" t="s">
        <v>16</v>
      </c>
      <c r="N1" s="5" t="s">
        <v>17</v>
      </c>
      <c r="O1" s="5" t="s">
        <v>18</v>
      </c>
      <c r="P1" s="5" t="s">
        <v>19</v>
      </c>
      <c r="Q1" s="5" t="s">
        <v>20</v>
      </c>
      <c r="R1" s="5" t="s">
        <v>21</v>
      </c>
      <c r="S1" s="5" t="s">
        <v>22</v>
      </c>
      <c r="T1" s="5" t="s">
        <v>23</v>
      </c>
      <c r="U1" s="5" t="s">
        <v>24</v>
      </c>
      <c r="V1" s="5" t="s">
        <v>25</v>
      </c>
      <c r="W1" s="5" t="s">
        <v>26</v>
      </c>
      <c r="X1" s="5" t="s">
        <v>27</v>
      </c>
      <c r="Y1" s="5" t="s">
        <v>28</v>
      </c>
      <c r="Z1" s="5" t="s">
        <v>29</v>
      </c>
      <c r="AA1" s="5" t="s">
        <v>30</v>
      </c>
      <c r="AB1" s="5" t="s">
        <v>31</v>
      </c>
      <c r="AC1" s="5" t="s">
        <v>32</v>
      </c>
      <c r="AD1" s="4" t="s">
        <v>33</v>
      </c>
      <c r="AE1" s="4" t="s">
        <v>34</v>
      </c>
      <c r="AF1" s="5" t="s">
        <v>35</v>
      </c>
      <c r="AG1" s="5" t="s">
        <v>36</v>
      </c>
      <c r="AH1" s="5" t="s">
        <v>37</v>
      </c>
      <c r="AI1" s="4" t="s">
        <v>38</v>
      </c>
      <c r="AJ1" s="5" t="s">
        <v>39</v>
      </c>
      <c r="AK1" s="5" t="s">
        <v>40</v>
      </c>
      <c r="AL1" s="4" t="s">
        <v>3</v>
      </c>
      <c r="AM1" s="5" t="s">
        <v>41</v>
      </c>
      <c r="AN1" s="5" t="s">
        <v>42</v>
      </c>
      <c r="AO1" s="5" t="s">
        <v>43</v>
      </c>
      <c r="AP1" s="5" t="s">
        <v>44</v>
      </c>
      <c r="AQ1" s="5" t="s">
        <v>45</v>
      </c>
      <c r="AR1" s="5" t="s">
        <v>46</v>
      </c>
      <c r="AS1" s="6" t="s">
        <v>47</v>
      </c>
      <c r="AT1" s="6" t="s">
        <v>48</v>
      </c>
      <c r="AU1" s="7" t="s">
        <v>49</v>
      </c>
      <c r="AV1" s="7" t="s">
        <v>50</v>
      </c>
    </row>
    <row r="2" spans="1:48" x14ac:dyDescent="0.35">
      <c r="A2" s="16" t="s">
        <v>484</v>
      </c>
      <c r="B2" s="3" t="s">
        <v>487</v>
      </c>
      <c r="C2" s="3" t="s">
        <v>179</v>
      </c>
      <c r="D2" s="3" t="s">
        <v>180</v>
      </c>
      <c r="E2" s="16">
        <v>10.5</v>
      </c>
      <c r="F2" s="16" t="s">
        <v>499</v>
      </c>
      <c r="G2" s="3" t="s">
        <v>67</v>
      </c>
      <c r="H2" s="3" t="s">
        <v>51</v>
      </c>
      <c r="I2" s="373">
        <v>43987</v>
      </c>
      <c r="J2" s="3" t="s">
        <v>481</v>
      </c>
      <c r="K2" s="3">
        <v>100</v>
      </c>
      <c r="L2" s="21" t="s">
        <v>186</v>
      </c>
      <c r="M2" s="3" t="s">
        <v>185</v>
      </c>
      <c r="N2" s="3" t="s">
        <v>65</v>
      </c>
      <c r="O2" s="3" t="b">
        <v>1</v>
      </c>
      <c r="P2" s="3" t="b">
        <v>0</v>
      </c>
      <c r="Q2" s="3" t="s">
        <v>181</v>
      </c>
      <c r="R2" s="3">
        <v>3</v>
      </c>
      <c r="S2" s="3">
        <v>5</v>
      </c>
      <c r="T2" s="3">
        <v>3</v>
      </c>
      <c r="U2" s="3" t="s">
        <v>178</v>
      </c>
      <c r="V2" s="3">
        <v>9</v>
      </c>
      <c r="Z2" s="3">
        <v>5.0999999999999996</v>
      </c>
      <c r="AA2" s="3">
        <v>12.795175737768023</v>
      </c>
      <c r="AF2" s="3" t="s">
        <v>175</v>
      </c>
      <c r="AG2" s="3" t="s">
        <v>176</v>
      </c>
      <c r="AH2" s="3" t="s">
        <v>177</v>
      </c>
      <c r="AM2" s="16" t="s">
        <v>52</v>
      </c>
      <c r="AN2" s="14">
        <v>43970</v>
      </c>
      <c r="AS2" s="3" t="s">
        <v>184</v>
      </c>
      <c r="AT2" s="3" t="s">
        <v>183</v>
      </c>
      <c r="AU2" s="371" t="s">
        <v>502</v>
      </c>
      <c r="AV2" s="510" t="s">
        <v>505</v>
      </c>
    </row>
    <row r="3" spans="1:48" x14ac:dyDescent="0.35">
      <c r="A3" s="16" t="s">
        <v>485</v>
      </c>
      <c r="B3" s="3" t="s">
        <v>488</v>
      </c>
      <c r="C3" s="3" t="s">
        <v>179</v>
      </c>
      <c r="D3" s="3" t="s">
        <v>180</v>
      </c>
      <c r="E3" s="16">
        <v>10.5</v>
      </c>
      <c r="F3" s="16" t="s">
        <v>499</v>
      </c>
      <c r="G3" s="3" t="s">
        <v>298</v>
      </c>
      <c r="H3" s="3" t="s">
        <v>51</v>
      </c>
      <c r="I3" s="373">
        <v>43987</v>
      </c>
      <c r="J3" s="3" t="s">
        <v>482</v>
      </c>
      <c r="K3" s="3">
        <v>100</v>
      </c>
      <c r="L3" s="21" t="s">
        <v>186</v>
      </c>
      <c r="M3" s="3" t="s">
        <v>185</v>
      </c>
      <c r="N3" s="3" t="s">
        <v>65</v>
      </c>
      <c r="O3" s="3" t="b">
        <v>1</v>
      </c>
      <c r="P3" s="3" t="b">
        <v>0</v>
      </c>
      <c r="Q3" s="3" t="s">
        <v>296</v>
      </c>
      <c r="R3" s="3">
        <v>3</v>
      </c>
      <c r="S3" s="3">
        <v>5</v>
      </c>
      <c r="T3" s="3">
        <v>4</v>
      </c>
      <c r="U3" s="3" t="s">
        <v>297</v>
      </c>
      <c r="V3" s="3">
        <v>35</v>
      </c>
      <c r="Z3" s="3">
        <v>5.0999999999999996</v>
      </c>
      <c r="AA3" s="3">
        <v>6.2597896543940337</v>
      </c>
      <c r="AF3" s="3" t="s">
        <v>175</v>
      </c>
      <c r="AG3" s="3" t="s">
        <v>176</v>
      </c>
      <c r="AH3" s="3" t="s">
        <v>177</v>
      </c>
      <c r="AM3" s="16" t="s">
        <v>52</v>
      </c>
      <c r="AN3" s="14">
        <v>43970</v>
      </c>
      <c r="AS3" s="3" t="s">
        <v>184</v>
      </c>
      <c r="AT3" s="3" t="s">
        <v>183</v>
      </c>
      <c r="AU3" s="371" t="s">
        <v>502</v>
      </c>
      <c r="AV3" s="15" t="s">
        <v>505</v>
      </c>
    </row>
    <row r="4" spans="1:48" x14ac:dyDescent="0.35">
      <c r="A4" s="16" t="s">
        <v>486</v>
      </c>
      <c r="B4" s="3" t="s">
        <v>489</v>
      </c>
      <c r="C4" s="3" t="s">
        <v>179</v>
      </c>
      <c r="D4" s="3" t="s">
        <v>180</v>
      </c>
      <c r="E4" s="16">
        <v>10.5</v>
      </c>
      <c r="F4" s="16" t="s">
        <v>499</v>
      </c>
      <c r="G4" s="3" t="s">
        <v>298</v>
      </c>
      <c r="H4" s="3" t="s">
        <v>51</v>
      </c>
      <c r="I4" s="373">
        <v>43987</v>
      </c>
      <c r="J4" s="3" t="s">
        <v>483</v>
      </c>
      <c r="K4" s="3">
        <v>100</v>
      </c>
      <c r="L4" s="21" t="s">
        <v>186</v>
      </c>
      <c r="M4" s="3" t="s">
        <v>185</v>
      </c>
      <c r="N4" s="3" t="s">
        <v>65</v>
      </c>
      <c r="O4" s="3" t="b">
        <v>1</v>
      </c>
      <c r="P4" s="3" t="b">
        <v>0</v>
      </c>
      <c r="Q4" s="3" t="s">
        <v>419</v>
      </c>
      <c r="R4" s="3">
        <v>3</v>
      </c>
      <c r="S4" s="3">
        <v>5</v>
      </c>
      <c r="T4" s="3">
        <v>4</v>
      </c>
      <c r="U4" s="3" t="s">
        <v>420</v>
      </c>
      <c r="V4" s="3">
        <v>18</v>
      </c>
      <c r="Z4" s="3">
        <v>5.0999999999999996</v>
      </c>
      <c r="AA4" s="3">
        <v>8.5700477486253863</v>
      </c>
      <c r="AF4" s="3" t="s">
        <v>175</v>
      </c>
      <c r="AG4" s="3" t="s">
        <v>176</v>
      </c>
      <c r="AH4" s="3" t="s">
        <v>177</v>
      </c>
      <c r="AM4" s="16" t="s">
        <v>52</v>
      </c>
      <c r="AN4" s="14">
        <v>43970</v>
      </c>
      <c r="AS4" s="3" t="s">
        <v>184</v>
      </c>
      <c r="AT4" s="3" t="s">
        <v>183</v>
      </c>
      <c r="AU4" s="371" t="s">
        <v>502</v>
      </c>
      <c r="AV4" s="15" t="s">
        <v>505</v>
      </c>
    </row>
    <row r="6" spans="1:48" x14ac:dyDescent="0.35">
      <c r="AU6" s="370"/>
    </row>
    <row r="7" spans="1:48" x14ac:dyDescent="0.35">
      <c r="AV7" s="3" t="s">
        <v>504</v>
      </c>
    </row>
  </sheetData>
  <hyperlinks>
    <hyperlink ref="AU4" r:id="rId1" xr:uid="{BD80A322-4460-4A0B-94CF-20064270C980}"/>
    <hyperlink ref="AV2" r:id="rId2" xr:uid="{20B3A02E-D54E-4628-B937-B4A04424D549}"/>
  </hyperlinks>
  <pageMargins left="0.7" right="0.7" top="0.75" bottom="0.75" header="0.3" footer="0.3"/>
  <pageSetup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78"/>
  <sheetViews>
    <sheetView workbookViewId="0">
      <pane ySplit="1" topLeftCell="A35" activePane="bottomLeft" state="frozen"/>
      <selection pane="bottomLeft" activeCell="D45" sqref="D45"/>
    </sheetView>
  </sheetViews>
  <sheetFormatPr defaultRowHeight="14.5" x14ac:dyDescent="0.35"/>
  <cols>
    <col min="1" max="1" width="15" customWidth="1"/>
    <col min="2" max="2" width="11.81640625" bestFit="1" customWidth="1"/>
    <col min="3" max="3" width="18.26953125" style="97" bestFit="1" customWidth="1"/>
    <col min="4" max="4" width="16.54296875" customWidth="1"/>
    <col min="5" max="5" width="23.81640625" bestFit="1" customWidth="1"/>
    <col min="6" max="6" width="23.1796875" bestFit="1" customWidth="1"/>
    <col min="7" max="7" width="21.81640625" bestFit="1" customWidth="1"/>
    <col min="8" max="8" width="7.26953125" bestFit="1" customWidth="1"/>
    <col min="9" max="9" width="25.54296875" bestFit="1" customWidth="1"/>
    <col min="10" max="10" width="31" bestFit="1" customWidth="1"/>
  </cols>
  <sheetData>
    <row r="1" spans="1:10" s="10" customFormat="1" x14ac:dyDescent="0.35">
      <c r="A1" s="8" t="s">
        <v>5</v>
      </c>
      <c r="B1" s="8" t="s">
        <v>53</v>
      </c>
      <c r="C1" s="98" t="s">
        <v>54</v>
      </c>
      <c r="D1" s="9" t="s">
        <v>64</v>
      </c>
      <c r="E1" s="8" t="s">
        <v>55</v>
      </c>
      <c r="F1" s="8" t="s">
        <v>56</v>
      </c>
      <c r="G1" s="8" t="s">
        <v>57</v>
      </c>
      <c r="H1" s="8" t="s">
        <v>58</v>
      </c>
      <c r="I1" s="8" t="s">
        <v>1</v>
      </c>
      <c r="J1" s="8" t="s">
        <v>2</v>
      </c>
    </row>
    <row r="2" spans="1:10" x14ac:dyDescent="0.35">
      <c r="A2" t="s">
        <v>484</v>
      </c>
      <c r="B2">
        <v>529</v>
      </c>
      <c r="C2" s="97">
        <v>77.589560427693172</v>
      </c>
      <c r="D2" s="20" t="s">
        <v>490</v>
      </c>
      <c r="E2">
        <v>8.4831329119962824</v>
      </c>
      <c r="F2" s="20" t="s">
        <v>59</v>
      </c>
      <c r="G2" t="s">
        <v>188</v>
      </c>
      <c r="H2" s="20" t="s">
        <v>179</v>
      </c>
    </row>
    <row r="3" spans="1:10" x14ac:dyDescent="0.35">
      <c r="A3" t="s">
        <v>484</v>
      </c>
      <c r="B3">
        <v>438</v>
      </c>
      <c r="C3" s="97">
        <v>14.594993966129957</v>
      </c>
      <c r="D3" s="20" t="s">
        <v>490</v>
      </c>
      <c r="E3" s="17">
        <v>5.2768563891298399</v>
      </c>
      <c r="F3" s="20" t="s">
        <v>59</v>
      </c>
      <c r="G3" s="17" t="s">
        <v>188</v>
      </c>
      <c r="H3" s="20" t="s">
        <v>179</v>
      </c>
    </row>
    <row r="4" spans="1:10" x14ac:dyDescent="0.35">
      <c r="A4" s="17" t="s">
        <v>484</v>
      </c>
      <c r="B4">
        <v>671</v>
      </c>
      <c r="C4" s="97">
        <v>4.1585088650886082</v>
      </c>
      <c r="D4" s="20" t="s">
        <v>490</v>
      </c>
      <c r="E4" s="17">
        <v>2.5048776497724834</v>
      </c>
      <c r="F4" s="20" t="s">
        <v>59</v>
      </c>
      <c r="G4" s="17" t="s">
        <v>188</v>
      </c>
      <c r="H4" s="20" t="s">
        <v>179</v>
      </c>
    </row>
    <row r="5" spans="1:10" x14ac:dyDescent="0.35">
      <c r="A5" s="17" t="s">
        <v>484</v>
      </c>
      <c r="B5">
        <v>491</v>
      </c>
      <c r="C5" s="97">
        <v>0.70492476760424616</v>
      </c>
      <c r="D5" s="20" t="s">
        <v>490</v>
      </c>
      <c r="E5" s="17">
        <v>0.47045143733943351</v>
      </c>
      <c r="F5" s="20" t="s">
        <v>59</v>
      </c>
      <c r="G5" s="17" t="s">
        <v>188</v>
      </c>
      <c r="H5" s="20" t="s">
        <v>179</v>
      </c>
    </row>
    <row r="6" spans="1:10" x14ac:dyDescent="0.35">
      <c r="A6" s="17" t="s">
        <v>484</v>
      </c>
      <c r="B6">
        <v>592</v>
      </c>
      <c r="C6" s="97">
        <v>1.001194854395749</v>
      </c>
      <c r="D6" s="20" t="s">
        <v>490</v>
      </c>
      <c r="E6" s="17">
        <v>0.70947483716874626</v>
      </c>
      <c r="F6" s="20" t="s">
        <v>59</v>
      </c>
      <c r="G6" s="17" t="s">
        <v>188</v>
      </c>
      <c r="H6" s="20" t="s">
        <v>179</v>
      </c>
    </row>
    <row r="7" spans="1:10" x14ac:dyDescent="0.35">
      <c r="A7" s="17" t="s">
        <v>484</v>
      </c>
      <c r="B7">
        <v>127</v>
      </c>
      <c r="C7" s="97">
        <v>4.0514814166080562E-3</v>
      </c>
      <c r="D7" s="20" t="s">
        <v>490</v>
      </c>
      <c r="E7" s="17">
        <v>0</v>
      </c>
      <c r="F7" s="20" t="s">
        <v>59</v>
      </c>
      <c r="G7" s="17" t="s">
        <v>188</v>
      </c>
      <c r="H7" s="20" t="s">
        <v>179</v>
      </c>
    </row>
    <row r="8" spans="1:10" x14ac:dyDescent="0.35">
      <c r="A8" s="17" t="s">
        <v>484</v>
      </c>
      <c r="B8">
        <v>508</v>
      </c>
      <c r="C8" s="97">
        <v>0.36333516272580169</v>
      </c>
      <c r="D8" s="20" t="s">
        <v>490</v>
      </c>
      <c r="E8" s="17">
        <v>0.25586556379879777</v>
      </c>
      <c r="F8" s="20" t="s">
        <v>59</v>
      </c>
      <c r="G8" s="17" t="s">
        <v>188</v>
      </c>
      <c r="H8" s="20" t="s">
        <v>179</v>
      </c>
    </row>
    <row r="9" spans="1:10" x14ac:dyDescent="0.35">
      <c r="A9" s="17" t="s">
        <v>484</v>
      </c>
      <c r="B9">
        <v>605</v>
      </c>
      <c r="C9" s="97">
        <v>0.24096185433458414</v>
      </c>
      <c r="D9" s="20" t="s">
        <v>490</v>
      </c>
      <c r="E9" s="17">
        <v>0.17717536779111492</v>
      </c>
      <c r="F9" s="20" t="s">
        <v>59</v>
      </c>
      <c r="G9" s="17" t="s">
        <v>188</v>
      </c>
      <c r="H9" s="20" t="s">
        <v>179</v>
      </c>
    </row>
    <row r="10" spans="1:10" x14ac:dyDescent="0.35">
      <c r="A10" s="17" t="s">
        <v>484</v>
      </c>
      <c r="B10">
        <v>390</v>
      </c>
      <c r="C10" s="97">
        <v>6.0733785314683163E-3</v>
      </c>
      <c r="D10" s="20" t="s">
        <v>490</v>
      </c>
      <c r="E10" s="17">
        <v>1.0240472861365292E-2</v>
      </c>
      <c r="F10" s="20" t="s">
        <v>59</v>
      </c>
      <c r="G10" s="17" t="s">
        <v>188</v>
      </c>
      <c r="H10" s="20" t="s">
        <v>179</v>
      </c>
    </row>
    <row r="11" spans="1:10" x14ac:dyDescent="0.35">
      <c r="A11" s="17" t="s">
        <v>484</v>
      </c>
      <c r="B11">
        <v>122</v>
      </c>
      <c r="C11" s="97">
        <v>1.6881172569200233E-3</v>
      </c>
      <c r="D11" s="20" t="s">
        <v>490</v>
      </c>
      <c r="E11" s="17">
        <v>2.8867513459481294E-3</v>
      </c>
      <c r="F11" s="20" t="s">
        <v>59</v>
      </c>
      <c r="G11" s="17" t="s">
        <v>188</v>
      </c>
      <c r="H11" s="20" t="s">
        <v>179</v>
      </c>
    </row>
    <row r="12" spans="1:10" x14ac:dyDescent="0.35">
      <c r="A12" s="17" t="s">
        <v>484</v>
      </c>
      <c r="B12">
        <v>136</v>
      </c>
      <c r="C12" s="97">
        <v>1.2154444249824167E-2</v>
      </c>
      <c r="D12" s="20" t="s">
        <v>490</v>
      </c>
      <c r="E12" s="17">
        <v>1.6970562748477139E-2</v>
      </c>
      <c r="F12" s="20" t="s">
        <v>59</v>
      </c>
      <c r="G12" s="17" t="s">
        <v>188</v>
      </c>
      <c r="H12" s="20" t="s">
        <v>179</v>
      </c>
    </row>
    <row r="13" spans="1:10" x14ac:dyDescent="0.35">
      <c r="A13" s="17" t="s">
        <v>484</v>
      </c>
      <c r="B13">
        <v>199</v>
      </c>
      <c r="C13" s="97">
        <v>5.317569359298073E-2</v>
      </c>
      <c r="D13" s="20" t="s">
        <v>490</v>
      </c>
      <c r="E13" s="17">
        <v>7.4246212024587477E-2</v>
      </c>
      <c r="F13" s="20" t="s">
        <v>59</v>
      </c>
      <c r="G13" s="17" t="s">
        <v>188</v>
      </c>
      <c r="H13" s="20" t="s">
        <v>179</v>
      </c>
    </row>
    <row r="14" spans="1:10" x14ac:dyDescent="0.35">
      <c r="A14" s="17" t="s">
        <v>484</v>
      </c>
      <c r="B14">
        <v>248</v>
      </c>
      <c r="C14" s="97">
        <v>6.026578607204483E-2</v>
      </c>
      <c r="D14" s="20" t="s">
        <v>490</v>
      </c>
      <c r="E14" s="17">
        <v>8.4145706961199163E-2</v>
      </c>
      <c r="F14" s="20" t="s">
        <v>59</v>
      </c>
      <c r="G14" s="17" t="s">
        <v>188</v>
      </c>
      <c r="H14" s="20" t="s">
        <v>179</v>
      </c>
    </row>
    <row r="15" spans="1:10" x14ac:dyDescent="0.35">
      <c r="A15" s="17" t="s">
        <v>484</v>
      </c>
      <c r="B15">
        <v>551</v>
      </c>
      <c r="C15" s="97">
        <v>6.1278656426196836E-2</v>
      </c>
      <c r="D15" s="20" t="s">
        <v>490</v>
      </c>
      <c r="E15" s="17">
        <v>8.5559920523572253E-2</v>
      </c>
      <c r="F15" s="20" t="s">
        <v>59</v>
      </c>
      <c r="G15" s="17" t="s">
        <v>188</v>
      </c>
      <c r="H15" s="20" t="s">
        <v>179</v>
      </c>
    </row>
    <row r="16" spans="1:10" x14ac:dyDescent="0.35">
      <c r="A16" s="17" t="s">
        <v>484</v>
      </c>
      <c r="B16">
        <v>118</v>
      </c>
      <c r="C16" s="97">
        <v>9.0929712917587691E-4</v>
      </c>
      <c r="D16" s="20" t="s">
        <v>490</v>
      </c>
      <c r="E16" s="17">
        <v>1.4664706113389409E-3</v>
      </c>
      <c r="F16" s="20" t="s">
        <v>59</v>
      </c>
      <c r="G16" s="17" t="s">
        <v>188</v>
      </c>
      <c r="H16" s="20" t="s">
        <v>179</v>
      </c>
    </row>
    <row r="17" spans="1:8" x14ac:dyDescent="0.35">
      <c r="A17" s="17" t="s">
        <v>484</v>
      </c>
      <c r="B17">
        <v>601</v>
      </c>
      <c r="C17" s="97">
        <v>0.56087951858611618</v>
      </c>
      <c r="D17" s="20" t="s">
        <v>490</v>
      </c>
      <c r="E17" s="17">
        <v>0.57785541947369068</v>
      </c>
      <c r="F17" s="20" t="s">
        <v>59</v>
      </c>
      <c r="G17" s="17" t="s">
        <v>188</v>
      </c>
      <c r="H17" s="20" t="s">
        <v>179</v>
      </c>
    </row>
    <row r="18" spans="1:8" x14ac:dyDescent="0.35">
      <c r="A18" s="17" t="s">
        <v>484</v>
      </c>
      <c r="B18">
        <v>385</v>
      </c>
      <c r="C18" s="97">
        <v>1.8685324254467412E-2</v>
      </c>
      <c r="D18" s="20" t="s">
        <v>490</v>
      </c>
      <c r="E18" s="17">
        <v>4.7321630550125428E-2</v>
      </c>
      <c r="F18" s="20" t="s">
        <v>59</v>
      </c>
      <c r="G18" s="17" t="s">
        <v>188</v>
      </c>
      <c r="H18" s="20" t="s">
        <v>179</v>
      </c>
    </row>
    <row r="19" spans="1:8" x14ac:dyDescent="0.35">
      <c r="A19" s="17" t="s">
        <v>484</v>
      </c>
      <c r="B19">
        <v>2127</v>
      </c>
      <c r="C19" s="97">
        <v>8.6299255579078221E-2</v>
      </c>
      <c r="D19" s="20" t="s">
        <v>490</v>
      </c>
      <c r="E19" s="17">
        <v>0.11653828701754158</v>
      </c>
      <c r="F19" s="20" t="s">
        <v>59</v>
      </c>
      <c r="G19" s="17" t="s">
        <v>188</v>
      </c>
      <c r="H19" s="20" t="s">
        <v>179</v>
      </c>
    </row>
    <row r="20" spans="1:8" x14ac:dyDescent="0.35">
      <c r="A20" s="17" t="s">
        <v>484</v>
      </c>
      <c r="B20">
        <v>194</v>
      </c>
      <c r="C20" s="97">
        <v>1.9750971905964271E-2</v>
      </c>
      <c r="D20" s="20" t="s">
        <v>490</v>
      </c>
      <c r="E20" s="17">
        <v>2.7577164466275353E-2</v>
      </c>
      <c r="F20" s="20" t="s">
        <v>59</v>
      </c>
      <c r="G20" s="17" t="s">
        <v>188</v>
      </c>
      <c r="H20" s="20" t="s">
        <v>179</v>
      </c>
    </row>
    <row r="21" spans="1:8" x14ac:dyDescent="0.35">
      <c r="A21" s="17" t="s">
        <v>484</v>
      </c>
      <c r="B21">
        <v>245</v>
      </c>
      <c r="C21" s="97">
        <v>2.2283147791344309E-2</v>
      </c>
      <c r="D21" s="20" t="s">
        <v>490</v>
      </c>
      <c r="E21" s="17">
        <v>3.1112698372208092E-2</v>
      </c>
      <c r="F21" s="20" t="s">
        <v>59</v>
      </c>
      <c r="G21" s="17" t="s">
        <v>188</v>
      </c>
      <c r="H21" s="20" t="s">
        <v>179</v>
      </c>
    </row>
    <row r="22" spans="1:8" x14ac:dyDescent="0.35">
      <c r="A22" s="17" t="s">
        <v>484</v>
      </c>
      <c r="B22">
        <v>633</v>
      </c>
      <c r="C22" s="97">
        <v>9.5340064626285859E-2</v>
      </c>
      <c r="D22" s="20" t="s">
        <v>490</v>
      </c>
      <c r="E22" s="17">
        <v>8.3850046511870627E-2</v>
      </c>
      <c r="F22" s="20" t="s">
        <v>59</v>
      </c>
      <c r="G22" s="17" t="s">
        <v>188</v>
      </c>
      <c r="H22" s="20" t="s">
        <v>179</v>
      </c>
    </row>
    <row r="23" spans="1:8" x14ac:dyDescent="0.35">
      <c r="A23" s="17" t="s">
        <v>484</v>
      </c>
      <c r="B23">
        <v>600</v>
      </c>
      <c r="C23" s="97">
        <v>4.114228607268812E-2</v>
      </c>
      <c r="D23" s="20" t="s">
        <v>490</v>
      </c>
      <c r="E23" s="17">
        <v>7.1300706128855446E-2</v>
      </c>
      <c r="F23" s="20" t="s">
        <v>59</v>
      </c>
      <c r="G23" s="17" t="s">
        <v>188</v>
      </c>
      <c r="H23" s="20" t="s">
        <v>179</v>
      </c>
    </row>
    <row r="24" spans="1:8" x14ac:dyDescent="0.35">
      <c r="A24" s="17" t="s">
        <v>484</v>
      </c>
      <c r="B24">
        <v>550</v>
      </c>
      <c r="C24" s="97">
        <v>2.0783259468391518E-2</v>
      </c>
      <c r="D24" s="20" t="s">
        <v>490</v>
      </c>
      <c r="E24" s="17">
        <v>3.9428623061150588E-2</v>
      </c>
      <c r="F24" s="20" t="s">
        <v>59</v>
      </c>
      <c r="G24" s="17" t="s">
        <v>188</v>
      </c>
      <c r="H24" s="20" t="s">
        <v>179</v>
      </c>
    </row>
    <row r="25" spans="1:8" x14ac:dyDescent="0.35">
      <c r="A25" s="17" t="s">
        <v>484</v>
      </c>
      <c r="B25">
        <v>634</v>
      </c>
      <c r="C25" s="97">
        <v>9.1261421110446245E-2</v>
      </c>
      <c r="D25" s="20" t="s">
        <v>490</v>
      </c>
      <c r="E25" s="17">
        <v>7.9742324654311872E-2</v>
      </c>
      <c r="F25" s="20" t="s">
        <v>59</v>
      </c>
      <c r="G25" s="17" t="s">
        <v>188</v>
      </c>
      <c r="H25" s="20" t="s">
        <v>179</v>
      </c>
    </row>
    <row r="26" spans="1:8" x14ac:dyDescent="0.35">
      <c r="A26" s="17" t="s">
        <v>484</v>
      </c>
      <c r="B26">
        <v>604</v>
      </c>
      <c r="C26" s="97">
        <v>3.4944027218244481E-2</v>
      </c>
      <c r="D26" s="20" t="s">
        <v>490</v>
      </c>
      <c r="E26" s="17">
        <v>4.8790367901871773E-2</v>
      </c>
      <c r="F26" s="20" t="s">
        <v>59</v>
      </c>
      <c r="G26" s="17" t="s">
        <v>188</v>
      </c>
      <c r="H26" s="20" t="s">
        <v>179</v>
      </c>
    </row>
    <row r="27" spans="1:8" x14ac:dyDescent="0.35">
      <c r="A27" s="17" t="s">
        <v>484</v>
      </c>
      <c r="B27">
        <v>302</v>
      </c>
      <c r="C27" s="97">
        <v>8.3783467735448879E-3</v>
      </c>
      <c r="D27" s="20" t="s">
        <v>490</v>
      </c>
      <c r="E27" s="17">
        <v>1.9483103156766768E-2</v>
      </c>
      <c r="F27" s="20" t="s">
        <v>59</v>
      </c>
      <c r="G27" s="17" t="s">
        <v>188</v>
      </c>
      <c r="H27" s="20" t="s">
        <v>179</v>
      </c>
    </row>
    <row r="28" spans="1:8" x14ac:dyDescent="0.35">
      <c r="A28" s="17" t="s">
        <v>484</v>
      </c>
      <c r="B28">
        <v>717</v>
      </c>
      <c r="C28" s="97">
        <v>1.7456243273043681E-2</v>
      </c>
      <c r="D28" s="20" t="s">
        <v>490</v>
      </c>
      <c r="E28" s="17">
        <v>3.7845988221304416E-2</v>
      </c>
      <c r="F28" s="20" t="s">
        <v>59</v>
      </c>
      <c r="G28" s="17" t="s">
        <v>188</v>
      </c>
      <c r="H28" s="20" t="s">
        <v>179</v>
      </c>
    </row>
    <row r="29" spans="1:8" x14ac:dyDescent="0.35">
      <c r="A29" s="17" t="s">
        <v>484</v>
      </c>
      <c r="B29">
        <v>449</v>
      </c>
      <c r="C29" s="97">
        <v>5.2826352519642662E-3</v>
      </c>
      <c r="D29" s="20" t="s">
        <v>490</v>
      </c>
      <c r="E29" s="17">
        <v>9.2568859357326436E-3</v>
      </c>
      <c r="F29" s="20" t="s">
        <v>59</v>
      </c>
      <c r="G29" s="17" t="s">
        <v>188</v>
      </c>
      <c r="H29" s="20" t="s">
        <v>179</v>
      </c>
    </row>
    <row r="30" spans="1:8" x14ac:dyDescent="0.35">
      <c r="A30" s="17" t="s">
        <v>484</v>
      </c>
      <c r="B30">
        <v>522</v>
      </c>
      <c r="C30" s="97">
        <v>7.133235766798968E-3</v>
      </c>
      <c r="D30" s="20" t="s">
        <v>490</v>
      </c>
      <c r="E30" s="17">
        <v>1.7308733419144708E-2</v>
      </c>
      <c r="F30" s="20" t="s">
        <v>59</v>
      </c>
      <c r="G30" s="17" t="s">
        <v>188</v>
      </c>
      <c r="H30" s="20" t="s">
        <v>179</v>
      </c>
    </row>
    <row r="31" spans="1:8" x14ac:dyDescent="0.35">
      <c r="A31" s="17" t="s">
        <v>484</v>
      </c>
      <c r="B31">
        <v>620</v>
      </c>
      <c r="C31" s="97">
        <v>2.0495729421585638E-3</v>
      </c>
      <c r="D31" s="20" t="s">
        <v>490</v>
      </c>
      <c r="E31" s="17">
        <v>4.1278297096084167E-3</v>
      </c>
      <c r="F31" s="20" t="s">
        <v>59</v>
      </c>
      <c r="G31" s="17" t="s">
        <v>188</v>
      </c>
      <c r="H31" s="20" t="s">
        <v>179</v>
      </c>
    </row>
    <row r="32" spans="1:8" x14ac:dyDescent="0.35">
      <c r="A32" s="17" t="s">
        <v>484</v>
      </c>
      <c r="B32">
        <v>2011</v>
      </c>
      <c r="C32" s="97">
        <v>3.0152720494576821E-2</v>
      </c>
      <c r="D32" s="20" t="s">
        <v>490</v>
      </c>
      <c r="E32" s="17">
        <v>5.9486961108855804E-2</v>
      </c>
      <c r="F32" s="20" t="s">
        <v>59</v>
      </c>
      <c r="G32" s="17" t="s">
        <v>188</v>
      </c>
      <c r="H32" s="20" t="s">
        <v>179</v>
      </c>
    </row>
    <row r="33" spans="1:8" x14ac:dyDescent="0.35">
      <c r="A33" s="17" t="s">
        <v>484</v>
      </c>
      <c r="B33">
        <v>635</v>
      </c>
      <c r="C33" s="97">
        <v>3.5458820581473816E-2</v>
      </c>
      <c r="D33" s="20" t="s">
        <v>490</v>
      </c>
      <c r="E33" s="17">
        <v>4.9485804620679245E-2</v>
      </c>
      <c r="F33" s="20" t="s">
        <v>59</v>
      </c>
      <c r="G33" s="17" t="s">
        <v>188</v>
      </c>
      <c r="H33" s="20" t="s">
        <v>179</v>
      </c>
    </row>
    <row r="34" spans="1:8" x14ac:dyDescent="0.35">
      <c r="A34" s="17" t="s">
        <v>484</v>
      </c>
      <c r="B34">
        <v>603</v>
      </c>
      <c r="C34" s="97">
        <v>1.7729443657346071E-2</v>
      </c>
      <c r="D34" s="20" t="s">
        <v>490</v>
      </c>
      <c r="E34" s="17">
        <v>2.4742855722431296E-2</v>
      </c>
      <c r="F34" s="20" t="s">
        <v>59</v>
      </c>
      <c r="G34" s="17" t="s">
        <v>188</v>
      </c>
      <c r="H34" s="20" t="s">
        <v>179</v>
      </c>
    </row>
    <row r="35" spans="1:8" x14ac:dyDescent="0.35">
      <c r="A35" s="17" t="s">
        <v>484</v>
      </c>
      <c r="B35">
        <v>628</v>
      </c>
      <c r="C35" s="97">
        <v>1.9755611718660363E-2</v>
      </c>
      <c r="D35" s="20" t="s">
        <v>490</v>
      </c>
      <c r="E35" s="17">
        <v>2.7570686158350958E-2</v>
      </c>
      <c r="F35" s="20" t="s">
        <v>59</v>
      </c>
      <c r="G35" s="17" t="s">
        <v>188</v>
      </c>
      <c r="H35" s="20" t="s">
        <v>179</v>
      </c>
    </row>
    <row r="36" spans="1:8" x14ac:dyDescent="0.35">
      <c r="A36" s="17" t="s">
        <v>484</v>
      </c>
      <c r="B36">
        <v>598</v>
      </c>
      <c r="C36" s="97">
        <v>8.104832093788315E-3</v>
      </c>
      <c r="D36" s="20" t="s">
        <v>490</v>
      </c>
      <c r="E36" s="17">
        <v>1.1311098556219647E-2</v>
      </c>
      <c r="F36" s="20" t="s">
        <v>59</v>
      </c>
      <c r="G36" s="17" t="s">
        <v>188</v>
      </c>
      <c r="H36" s="20" t="s">
        <v>179</v>
      </c>
    </row>
    <row r="37" spans="1:8" x14ac:dyDescent="0.35">
      <c r="A37" s="17" t="s">
        <v>484</v>
      </c>
      <c r="B37">
        <v>505</v>
      </c>
      <c r="C37" s="97">
        <v>4.0525081862941136E-3</v>
      </c>
      <c r="D37" s="20" t="s">
        <v>490</v>
      </c>
      <c r="E37" s="17">
        <v>5.6554206290793593E-3</v>
      </c>
      <c r="F37" s="20" t="s">
        <v>59</v>
      </c>
      <c r="G37" s="17" t="s">
        <v>188</v>
      </c>
      <c r="H37" s="20" t="s">
        <v>179</v>
      </c>
    </row>
    <row r="38" spans="1:8" x14ac:dyDescent="0.35">
      <c r="A38" s="17" t="s">
        <v>485</v>
      </c>
      <c r="B38">
        <v>529</v>
      </c>
      <c r="C38" s="97">
        <v>66.645807179036566</v>
      </c>
      <c r="D38" s="20" t="s">
        <v>490</v>
      </c>
      <c r="E38">
        <v>12.488283154974178</v>
      </c>
      <c r="F38" s="20" t="s">
        <v>59</v>
      </c>
      <c r="G38" s="17" t="s">
        <v>188</v>
      </c>
      <c r="H38" s="20" t="s">
        <v>179</v>
      </c>
    </row>
    <row r="39" spans="1:8" x14ac:dyDescent="0.35">
      <c r="A39" s="17" t="s">
        <v>485</v>
      </c>
      <c r="B39">
        <v>438</v>
      </c>
      <c r="C39" s="97">
        <v>17.379215142631157</v>
      </c>
      <c r="D39" s="20" t="s">
        <v>490</v>
      </c>
      <c r="E39">
        <v>4.6789996892445211</v>
      </c>
      <c r="F39" s="20" t="s">
        <v>59</v>
      </c>
      <c r="G39" s="17" t="s">
        <v>188</v>
      </c>
      <c r="H39" s="20" t="s">
        <v>179</v>
      </c>
    </row>
    <row r="40" spans="1:8" x14ac:dyDescent="0.35">
      <c r="A40" s="17" t="s">
        <v>485</v>
      </c>
      <c r="B40">
        <v>671</v>
      </c>
      <c r="C40" s="97">
        <v>7.0063171132684028</v>
      </c>
      <c r="D40" s="20" t="s">
        <v>490</v>
      </c>
      <c r="E40">
        <v>3.7526845161882005</v>
      </c>
      <c r="F40" s="20" t="s">
        <v>59</v>
      </c>
      <c r="G40" s="17" t="s">
        <v>188</v>
      </c>
      <c r="H40" s="20" t="s">
        <v>179</v>
      </c>
    </row>
    <row r="41" spans="1:8" x14ac:dyDescent="0.35">
      <c r="A41" s="17" t="s">
        <v>485</v>
      </c>
      <c r="B41">
        <v>491</v>
      </c>
      <c r="C41" s="97">
        <v>1.3229352286854497</v>
      </c>
      <c r="D41" s="20" t="s">
        <v>490</v>
      </c>
      <c r="E41">
        <v>0.86055307727394026</v>
      </c>
      <c r="F41" s="20" t="s">
        <v>59</v>
      </c>
      <c r="G41" s="17" t="s">
        <v>188</v>
      </c>
      <c r="H41" s="20" t="s">
        <v>179</v>
      </c>
    </row>
    <row r="42" spans="1:8" x14ac:dyDescent="0.35">
      <c r="A42" s="17" t="s">
        <v>485</v>
      </c>
      <c r="B42">
        <v>592</v>
      </c>
      <c r="C42" s="97">
        <v>2.6450922677298223</v>
      </c>
      <c r="D42" s="20" t="s">
        <v>490</v>
      </c>
      <c r="E42">
        <v>1.950679060622271</v>
      </c>
      <c r="F42" s="20" t="s">
        <v>59</v>
      </c>
      <c r="G42" s="17" t="s">
        <v>188</v>
      </c>
      <c r="H42" s="20" t="s">
        <v>179</v>
      </c>
    </row>
    <row r="43" spans="1:8" x14ac:dyDescent="0.35">
      <c r="A43" s="17" t="s">
        <v>485</v>
      </c>
      <c r="B43">
        <v>508</v>
      </c>
      <c r="C43" s="97">
        <v>1.1182791959183387</v>
      </c>
      <c r="D43" s="20" t="s">
        <v>490</v>
      </c>
      <c r="E43">
        <v>1.0306251664345099</v>
      </c>
      <c r="F43" s="20" t="s">
        <v>59</v>
      </c>
      <c r="G43" s="17" t="s">
        <v>188</v>
      </c>
      <c r="H43" s="20" t="s">
        <v>179</v>
      </c>
    </row>
    <row r="44" spans="1:8" x14ac:dyDescent="0.35">
      <c r="A44" s="17" t="s">
        <v>485</v>
      </c>
      <c r="B44">
        <v>605</v>
      </c>
      <c r="C44" s="97">
        <v>1.076097154902498</v>
      </c>
      <c r="D44" s="20" t="s">
        <v>490</v>
      </c>
      <c r="E44">
        <v>0.97838958419517152</v>
      </c>
      <c r="F44" s="20" t="s">
        <v>59</v>
      </c>
      <c r="G44" s="17" t="s">
        <v>188</v>
      </c>
      <c r="H44" s="20" t="s">
        <v>179</v>
      </c>
    </row>
    <row r="45" spans="1:8" x14ac:dyDescent="0.35">
      <c r="A45" s="17" t="s">
        <v>485</v>
      </c>
      <c r="B45">
        <v>601</v>
      </c>
      <c r="C45" s="97">
        <v>0.44685351585414551</v>
      </c>
      <c r="D45" s="20" t="s">
        <v>490</v>
      </c>
      <c r="E45">
        <v>0.32606509423362068</v>
      </c>
      <c r="F45" s="20" t="s">
        <v>59</v>
      </c>
      <c r="G45" s="17" t="s">
        <v>188</v>
      </c>
      <c r="H45" s="20" t="s">
        <v>179</v>
      </c>
    </row>
    <row r="46" spans="1:8" x14ac:dyDescent="0.35">
      <c r="A46" s="17" t="s">
        <v>485</v>
      </c>
      <c r="B46">
        <v>2127</v>
      </c>
      <c r="C46" s="97">
        <v>0.6655072226106441</v>
      </c>
      <c r="D46" s="20" t="s">
        <v>490</v>
      </c>
      <c r="E46">
        <v>0.4733805937291175</v>
      </c>
      <c r="F46" s="20" t="s">
        <v>59</v>
      </c>
      <c r="G46" s="17" t="s">
        <v>188</v>
      </c>
      <c r="H46" s="20" t="s">
        <v>179</v>
      </c>
    </row>
    <row r="47" spans="1:8" x14ac:dyDescent="0.35">
      <c r="A47" s="17" t="s">
        <v>485</v>
      </c>
      <c r="B47">
        <v>600</v>
      </c>
      <c r="C47" s="97">
        <v>0.69145686167594622</v>
      </c>
      <c r="D47" s="20" t="s">
        <v>490</v>
      </c>
      <c r="E47">
        <v>0.50680536090025219</v>
      </c>
      <c r="F47" s="20" t="s">
        <v>59</v>
      </c>
      <c r="G47" s="17" t="s">
        <v>188</v>
      </c>
      <c r="H47" s="20" t="s">
        <v>179</v>
      </c>
    </row>
    <row r="48" spans="1:8" x14ac:dyDescent="0.35">
      <c r="A48" s="17" t="s">
        <v>485</v>
      </c>
      <c r="B48">
        <v>604</v>
      </c>
      <c r="C48" s="97">
        <v>0.45820978486609631</v>
      </c>
      <c r="D48" s="20" t="s">
        <v>490</v>
      </c>
      <c r="E48">
        <v>0.33182660943561132</v>
      </c>
      <c r="F48" s="20" t="s">
        <v>59</v>
      </c>
      <c r="G48" s="17" t="s">
        <v>188</v>
      </c>
      <c r="H48" s="20" t="s">
        <v>179</v>
      </c>
    </row>
    <row r="49" spans="1:8" x14ac:dyDescent="0.35">
      <c r="A49" s="17" t="s">
        <v>485</v>
      </c>
      <c r="B49">
        <v>603</v>
      </c>
      <c r="C49" s="97">
        <v>0.16596848593700747</v>
      </c>
      <c r="D49" s="20" t="s">
        <v>490</v>
      </c>
      <c r="E49">
        <v>0.12487961207150582</v>
      </c>
      <c r="F49" s="20" t="s">
        <v>59</v>
      </c>
      <c r="G49" s="17" t="s">
        <v>188</v>
      </c>
      <c r="H49" s="20" t="s">
        <v>179</v>
      </c>
    </row>
    <row r="50" spans="1:8" x14ac:dyDescent="0.35">
      <c r="A50" s="17" t="s">
        <v>485</v>
      </c>
      <c r="B50">
        <v>598</v>
      </c>
      <c r="C50" s="97">
        <v>0.32175634457736324</v>
      </c>
      <c r="D50" s="20" t="s">
        <v>490</v>
      </c>
      <c r="E50">
        <v>0.2494164565786525</v>
      </c>
      <c r="F50" s="20" t="s">
        <v>59</v>
      </c>
      <c r="G50" s="17" t="s">
        <v>188</v>
      </c>
      <c r="H50" s="20" t="s">
        <v>179</v>
      </c>
    </row>
    <row r="51" spans="1:8" x14ac:dyDescent="0.35">
      <c r="A51" s="17" t="s">
        <v>485</v>
      </c>
      <c r="B51">
        <v>302</v>
      </c>
      <c r="C51" s="97">
        <v>8.8675300328722347E-3</v>
      </c>
      <c r="D51" s="20" t="s">
        <v>490</v>
      </c>
      <c r="E51">
        <v>8.513259251327069E-3</v>
      </c>
      <c r="F51" s="20" t="s">
        <v>59</v>
      </c>
      <c r="G51" s="17" t="s">
        <v>188</v>
      </c>
      <c r="H51" s="20" t="s">
        <v>179</v>
      </c>
    </row>
    <row r="52" spans="1:8" x14ac:dyDescent="0.35">
      <c r="A52" s="17" t="s">
        <v>485</v>
      </c>
      <c r="B52">
        <v>717</v>
      </c>
      <c r="C52" s="97">
        <v>2.8261151115574052E-2</v>
      </c>
      <c r="D52" s="20" t="s">
        <v>490</v>
      </c>
      <c r="E52">
        <v>2.6973536483799104E-2</v>
      </c>
      <c r="F52" s="20" t="s">
        <v>59</v>
      </c>
      <c r="G52" s="17" t="s">
        <v>188</v>
      </c>
      <c r="H52" s="20" t="s">
        <v>179</v>
      </c>
    </row>
    <row r="53" spans="1:8" x14ac:dyDescent="0.35">
      <c r="A53" s="17" t="s">
        <v>485</v>
      </c>
      <c r="B53">
        <v>449</v>
      </c>
      <c r="C53" s="97">
        <v>1.4770386770562042E-3</v>
      </c>
      <c r="D53" s="20" t="s">
        <v>490</v>
      </c>
      <c r="E53">
        <v>1.4875984159293868E-3</v>
      </c>
      <c r="F53" s="20" t="s">
        <v>59</v>
      </c>
      <c r="G53" s="17" t="s">
        <v>188</v>
      </c>
      <c r="H53" s="20" t="s">
        <v>179</v>
      </c>
    </row>
    <row r="54" spans="1:8" x14ac:dyDescent="0.35">
      <c r="A54" s="17" t="s">
        <v>485</v>
      </c>
      <c r="B54">
        <v>522</v>
      </c>
      <c r="C54" s="97">
        <v>1.7898782481044904E-2</v>
      </c>
      <c r="D54" s="20" t="s">
        <v>490</v>
      </c>
      <c r="E54">
        <v>1.6482344150332895E-2</v>
      </c>
      <c r="F54" s="20" t="s">
        <v>59</v>
      </c>
      <c r="G54" s="17" t="s">
        <v>188</v>
      </c>
      <c r="H54" s="20" t="s">
        <v>179</v>
      </c>
    </row>
    <row r="55" spans="1:8" x14ac:dyDescent="0.35">
      <c r="A55" s="17" t="s">
        <v>486</v>
      </c>
      <c r="B55">
        <v>529</v>
      </c>
      <c r="C55" s="97">
        <v>71.793915255618415</v>
      </c>
      <c r="D55" s="20" t="s">
        <v>490</v>
      </c>
      <c r="E55">
        <v>14.229442081072335</v>
      </c>
      <c r="F55" s="20" t="s">
        <v>59</v>
      </c>
      <c r="G55" s="17" t="s">
        <v>188</v>
      </c>
      <c r="H55" s="20" t="s">
        <v>179</v>
      </c>
    </row>
    <row r="56" spans="1:8" x14ac:dyDescent="0.35">
      <c r="A56" s="17" t="s">
        <v>486</v>
      </c>
      <c r="B56">
        <v>438</v>
      </c>
      <c r="C56" s="97">
        <v>16.537538321633857</v>
      </c>
      <c r="D56" s="20" t="s">
        <v>490</v>
      </c>
      <c r="E56" s="17">
        <v>5.9569757550450024</v>
      </c>
      <c r="F56" s="20" t="s">
        <v>59</v>
      </c>
      <c r="G56" s="17" t="s">
        <v>188</v>
      </c>
      <c r="H56" s="20" t="s">
        <v>179</v>
      </c>
    </row>
    <row r="57" spans="1:8" x14ac:dyDescent="0.35">
      <c r="A57" s="17" t="s">
        <v>486</v>
      </c>
      <c r="B57">
        <v>671</v>
      </c>
      <c r="C57" s="97">
        <v>6.5275765300412463</v>
      </c>
      <c r="D57" s="20" t="s">
        <v>490</v>
      </c>
      <c r="E57" s="17">
        <v>4.5628294638974545</v>
      </c>
      <c r="F57" s="20" t="s">
        <v>59</v>
      </c>
      <c r="G57" s="17" t="s">
        <v>188</v>
      </c>
      <c r="H57" s="20" t="s">
        <v>179</v>
      </c>
    </row>
    <row r="58" spans="1:8" x14ac:dyDescent="0.35">
      <c r="A58" s="17" t="s">
        <v>486</v>
      </c>
      <c r="B58">
        <v>491</v>
      </c>
      <c r="C58" s="97">
        <v>0.99222892039454169</v>
      </c>
      <c r="D58" s="20" t="s">
        <v>490</v>
      </c>
      <c r="E58" s="17">
        <v>0.69641108686728936</v>
      </c>
      <c r="F58" s="20" t="s">
        <v>59</v>
      </c>
      <c r="G58" s="17" t="s">
        <v>188</v>
      </c>
      <c r="H58" s="20" t="s">
        <v>179</v>
      </c>
    </row>
    <row r="59" spans="1:8" x14ac:dyDescent="0.35">
      <c r="A59" s="17" t="s">
        <v>486</v>
      </c>
      <c r="B59">
        <v>592</v>
      </c>
      <c r="C59" s="97">
        <v>1.9805215739699529</v>
      </c>
      <c r="D59" s="20" t="s">
        <v>490</v>
      </c>
      <c r="E59" s="17">
        <v>1.7313826378799964</v>
      </c>
      <c r="F59" s="20" t="s">
        <v>59</v>
      </c>
      <c r="G59" s="17" t="s">
        <v>188</v>
      </c>
      <c r="H59" s="20" t="s">
        <v>179</v>
      </c>
    </row>
    <row r="60" spans="1:8" x14ac:dyDescent="0.35">
      <c r="A60" s="17" t="s">
        <v>486</v>
      </c>
      <c r="B60">
        <v>508</v>
      </c>
      <c r="C60" s="97">
        <v>0.57434879846242959</v>
      </c>
      <c r="D60" s="20" t="s">
        <v>490</v>
      </c>
      <c r="E60" s="17">
        <v>0.44137749809521865</v>
      </c>
      <c r="F60" s="20" t="s">
        <v>59</v>
      </c>
      <c r="G60" s="17" t="s">
        <v>188</v>
      </c>
      <c r="H60" s="20" t="s">
        <v>179</v>
      </c>
    </row>
    <row r="61" spans="1:8" x14ac:dyDescent="0.35">
      <c r="A61" s="17" t="s">
        <v>486</v>
      </c>
      <c r="B61">
        <v>605</v>
      </c>
      <c r="C61" s="97">
        <v>0.57185493138603161</v>
      </c>
      <c r="D61" s="20" t="s">
        <v>490</v>
      </c>
      <c r="E61" s="17">
        <v>0.55732441313439818</v>
      </c>
      <c r="F61" s="20" t="s">
        <v>59</v>
      </c>
      <c r="G61" s="17" t="s">
        <v>188</v>
      </c>
      <c r="H61" s="20" t="s">
        <v>179</v>
      </c>
    </row>
    <row r="62" spans="1:8" x14ac:dyDescent="0.35">
      <c r="A62" s="17" t="s">
        <v>486</v>
      </c>
      <c r="B62">
        <v>390</v>
      </c>
      <c r="C62" s="97">
        <v>4.2304785010988105E-5</v>
      </c>
      <c r="D62" s="20" t="s">
        <v>490</v>
      </c>
      <c r="E62" s="17">
        <v>1.9876062406165503E-4</v>
      </c>
      <c r="F62" s="20" t="s">
        <v>59</v>
      </c>
      <c r="G62" s="17" t="s">
        <v>188</v>
      </c>
      <c r="H62" s="20" t="s">
        <v>179</v>
      </c>
    </row>
    <row r="63" spans="1:8" x14ac:dyDescent="0.35">
      <c r="A63" s="17" t="s">
        <v>486</v>
      </c>
      <c r="B63">
        <v>601</v>
      </c>
      <c r="C63" s="97">
        <v>0.14667257110317239</v>
      </c>
      <c r="D63" s="20" t="s">
        <v>490</v>
      </c>
      <c r="E63" s="17">
        <v>0.12759458248759087</v>
      </c>
      <c r="F63" s="20" t="s">
        <v>59</v>
      </c>
      <c r="G63" s="17" t="s">
        <v>188</v>
      </c>
      <c r="H63" s="20" t="s">
        <v>179</v>
      </c>
    </row>
    <row r="64" spans="1:8" x14ac:dyDescent="0.35">
      <c r="A64" s="17" t="s">
        <v>486</v>
      </c>
      <c r="B64">
        <v>2127</v>
      </c>
      <c r="C64" s="97">
        <v>0.59643098072128142</v>
      </c>
      <c r="D64" s="20" t="s">
        <v>490</v>
      </c>
      <c r="E64" s="17">
        <v>0.53616956815381689</v>
      </c>
      <c r="F64" s="20" t="s">
        <v>59</v>
      </c>
      <c r="G64" s="17" t="s">
        <v>188</v>
      </c>
      <c r="H64" s="20" t="s">
        <v>179</v>
      </c>
    </row>
    <row r="65" spans="1:8" x14ac:dyDescent="0.35">
      <c r="A65" s="17" t="s">
        <v>486</v>
      </c>
      <c r="B65">
        <v>302</v>
      </c>
      <c r="C65" s="97">
        <v>2.7090946830935093E-2</v>
      </c>
      <c r="D65" s="20" t="s">
        <v>490</v>
      </c>
      <c r="E65" s="17">
        <v>2.5603761320995615E-2</v>
      </c>
      <c r="F65" s="20" t="s">
        <v>59</v>
      </c>
      <c r="G65" s="17" t="s">
        <v>188</v>
      </c>
      <c r="H65" s="20" t="s">
        <v>179</v>
      </c>
    </row>
    <row r="66" spans="1:8" x14ac:dyDescent="0.35">
      <c r="A66" s="17" t="s">
        <v>486</v>
      </c>
      <c r="B66">
        <v>385</v>
      </c>
      <c r="C66" s="97">
        <v>1.7271560902523833E-3</v>
      </c>
      <c r="D66" s="20" t="s">
        <v>490</v>
      </c>
      <c r="E66" s="17">
        <v>7.0524854667846438E-3</v>
      </c>
      <c r="F66" s="20" t="s">
        <v>59</v>
      </c>
      <c r="G66" s="17" t="s">
        <v>188</v>
      </c>
      <c r="H66" s="20" t="s">
        <v>179</v>
      </c>
    </row>
    <row r="67" spans="1:8" x14ac:dyDescent="0.35">
      <c r="A67" s="17" t="s">
        <v>486</v>
      </c>
      <c r="B67">
        <v>199</v>
      </c>
      <c r="C67" s="97">
        <v>2.2206292588959221E-4</v>
      </c>
      <c r="D67" s="20" t="s">
        <v>490</v>
      </c>
      <c r="E67" s="17">
        <v>1.0433185210445646E-3</v>
      </c>
      <c r="F67" s="20" t="s">
        <v>59</v>
      </c>
      <c r="G67" s="17" t="s">
        <v>188</v>
      </c>
      <c r="H67" s="20" t="s">
        <v>179</v>
      </c>
    </row>
    <row r="68" spans="1:8" x14ac:dyDescent="0.35">
      <c r="A68" s="17" t="s">
        <v>486</v>
      </c>
      <c r="B68">
        <v>248</v>
      </c>
      <c r="C68" s="97">
        <v>2.2206292588959221E-4</v>
      </c>
      <c r="D68" s="20" t="s">
        <v>490</v>
      </c>
      <c r="E68" s="17">
        <v>7.6116742143803008E-4</v>
      </c>
      <c r="F68" s="20" t="s">
        <v>59</v>
      </c>
      <c r="G68" s="17" t="s">
        <v>188</v>
      </c>
      <c r="H68" s="20" t="s">
        <v>179</v>
      </c>
    </row>
    <row r="69" spans="1:8" x14ac:dyDescent="0.35">
      <c r="A69" s="17" t="s">
        <v>486</v>
      </c>
      <c r="B69">
        <v>122</v>
      </c>
      <c r="C69" s="97">
        <v>1.0105867564342748E-4</v>
      </c>
      <c r="D69" s="20" t="s">
        <v>490</v>
      </c>
      <c r="E69" s="17">
        <v>4.7480410153401839E-4</v>
      </c>
      <c r="F69" s="20" t="s">
        <v>59</v>
      </c>
      <c r="G69" s="17" t="s">
        <v>188</v>
      </c>
      <c r="H69" s="20" t="s">
        <v>179</v>
      </c>
    </row>
    <row r="70" spans="1:8" x14ac:dyDescent="0.35">
      <c r="A70" s="17" t="s">
        <v>486</v>
      </c>
      <c r="B70">
        <v>136</v>
      </c>
      <c r="C70" s="97">
        <v>5.0529337821713742E-5</v>
      </c>
      <c r="D70" s="20" t="s">
        <v>490</v>
      </c>
      <c r="E70" s="17">
        <v>2.374020507670092E-4</v>
      </c>
      <c r="F70" s="20" t="s">
        <v>59</v>
      </c>
      <c r="G70" s="17" t="s">
        <v>188</v>
      </c>
      <c r="H70" s="20" t="s">
        <v>179</v>
      </c>
    </row>
    <row r="71" spans="1:8" x14ac:dyDescent="0.35">
      <c r="A71" s="17" t="s">
        <v>486</v>
      </c>
      <c r="B71">
        <v>2126</v>
      </c>
      <c r="C71" s="97">
        <v>0.10629558872228334</v>
      </c>
      <c r="D71" s="20" t="s">
        <v>490</v>
      </c>
      <c r="E71" s="17">
        <v>0.13911803919771248</v>
      </c>
      <c r="F71" s="20" t="s">
        <v>59</v>
      </c>
      <c r="G71" s="17" t="s">
        <v>188</v>
      </c>
      <c r="H71" s="20" t="s">
        <v>179</v>
      </c>
    </row>
    <row r="72" spans="1:8" x14ac:dyDescent="0.35">
      <c r="A72" s="17" t="s">
        <v>486</v>
      </c>
      <c r="B72">
        <v>717</v>
      </c>
      <c r="C72" s="97">
        <v>3.2306020167507686E-2</v>
      </c>
      <c r="D72" s="20" t="s">
        <v>490</v>
      </c>
      <c r="E72" s="17">
        <v>2.6219627789983442E-2</v>
      </c>
      <c r="F72" s="20" t="s">
        <v>59</v>
      </c>
      <c r="G72" s="17" t="s">
        <v>188</v>
      </c>
      <c r="H72" s="20" t="s">
        <v>179</v>
      </c>
    </row>
    <row r="73" spans="1:8" x14ac:dyDescent="0.35">
      <c r="A73" s="17" t="s">
        <v>486</v>
      </c>
      <c r="B73">
        <v>550</v>
      </c>
      <c r="C73" s="97">
        <v>7.3916762320547927E-3</v>
      </c>
      <c r="D73" s="20" t="s">
        <v>490</v>
      </c>
      <c r="E73" s="17">
        <v>1.9272364121512325E-2</v>
      </c>
      <c r="F73" s="20" t="s">
        <v>59</v>
      </c>
      <c r="G73" s="17" t="s">
        <v>188</v>
      </c>
      <c r="H73" s="20" t="s">
        <v>179</v>
      </c>
    </row>
    <row r="74" spans="1:8" x14ac:dyDescent="0.35">
      <c r="A74" s="17" t="s">
        <v>486</v>
      </c>
      <c r="B74">
        <v>2130</v>
      </c>
      <c r="C74" s="97">
        <v>7.4712044188073951E-2</v>
      </c>
      <c r="D74" s="20" t="s">
        <v>490</v>
      </c>
      <c r="E74" s="17">
        <v>8.1859602268929382E-2</v>
      </c>
      <c r="F74" s="20" t="s">
        <v>59</v>
      </c>
      <c r="G74" s="17" t="s">
        <v>188</v>
      </c>
      <c r="H74" s="20" t="s">
        <v>179</v>
      </c>
    </row>
    <row r="75" spans="1:8" x14ac:dyDescent="0.35">
      <c r="A75" s="17" t="s">
        <v>486</v>
      </c>
      <c r="B75">
        <v>449</v>
      </c>
      <c r="C75" s="97">
        <v>1.7952724763703879E-3</v>
      </c>
      <c r="D75" s="20" t="s">
        <v>490</v>
      </c>
      <c r="E75" s="17">
        <v>1.7060367516105845E-3</v>
      </c>
      <c r="F75" s="20" t="s">
        <v>59</v>
      </c>
      <c r="G75" s="17" t="s">
        <v>188</v>
      </c>
      <c r="H75" s="20" t="s">
        <v>179</v>
      </c>
    </row>
    <row r="76" spans="1:8" x14ac:dyDescent="0.35">
      <c r="A76" s="17" t="s">
        <v>486</v>
      </c>
      <c r="B76">
        <v>522</v>
      </c>
      <c r="C76" s="97">
        <v>3.4309848807183752E-3</v>
      </c>
      <c r="D76" s="20" t="s">
        <v>490</v>
      </c>
      <c r="E76" s="17">
        <v>4.558537045079517E-3</v>
      </c>
      <c r="F76" s="20" t="s">
        <v>59</v>
      </c>
      <c r="G76" s="17" t="s">
        <v>188</v>
      </c>
      <c r="H76" s="20" t="s">
        <v>179</v>
      </c>
    </row>
    <row r="77" spans="1:8" x14ac:dyDescent="0.35">
      <c r="A77" s="17" t="s">
        <v>486</v>
      </c>
      <c r="B77">
        <v>620</v>
      </c>
      <c r="C77" s="97">
        <v>4.9117906315646765E-3</v>
      </c>
      <c r="D77" s="20" t="s">
        <v>490</v>
      </c>
      <c r="E77" s="17">
        <v>5.8892971675835607E-3</v>
      </c>
      <c r="F77" s="20" t="s">
        <v>59</v>
      </c>
      <c r="G77" s="17" t="s">
        <v>188</v>
      </c>
      <c r="H77" s="20" t="s">
        <v>179</v>
      </c>
    </row>
    <row r="78" spans="1:8" x14ac:dyDescent="0.35">
      <c r="A78" s="17" t="s">
        <v>486</v>
      </c>
      <c r="B78">
        <v>118</v>
      </c>
      <c r="C78" s="97">
        <v>1.8612617799063435E-2</v>
      </c>
      <c r="D78" s="20" t="s">
        <v>490</v>
      </c>
      <c r="E78" s="17">
        <v>2.7527323835390912E-2</v>
      </c>
      <c r="F78" s="20" t="s">
        <v>59</v>
      </c>
      <c r="G78" s="17" t="s">
        <v>188</v>
      </c>
      <c r="H78" s="20" t="s">
        <v>179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4"/>
  <sheetViews>
    <sheetView workbookViewId="0">
      <selection activeCell="B3" sqref="B3"/>
    </sheetView>
  </sheetViews>
  <sheetFormatPr defaultRowHeight="14.5" x14ac:dyDescent="0.35"/>
  <cols>
    <col min="1" max="1" width="16.26953125" bestFit="1" customWidth="1"/>
    <col min="2" max="2" width="18.81640625" bestFit="1" customWidth="1"/>
  </cols>
  <sheetData>
    <row r="1" spans="1:2" x14ac:dyDescent="0.35">
      <c r="A1" s="11" t="s">
        <v>5</v>
      </c>
      <c r="B1" s="11" t="s">
        <v>60</v>
      </c>
    </row>
    <row r="2" spans="1:2" x14ac:dyDescent="0.35">
      <c r="A2" t="s">
        <v>484</v>
      </c>
      <c r="B2" s="355" t="s">
        <v>500</v>
      </c>
    </row>
    <row r="3" spans="1:2" x14ac:dyDescent="0.35">
      <c r="A3" s="17" t="s">
        <v>485</v>
      </c>
      <c r="B3" s="355" t="s">
        <v>500</v>
      </c>
    </row>
    <row r="4" spans="1:2" x14ac:dyDescent="0.35">
      <c r="A4" s="17" t="s">
        <v>486</v>
      </c>
      <c r="B4" s="355" t="s">
        <v>500</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2020-06-18T05:21:41+00:00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e3f09c3df709400db2417a7161762d62 xmlns="4ffa91fb-a0ff-4ac5-b2db-65c790d184a4">
      <Terms xmlns="http://schemas.microsoft.com/office/infopath/2007/PartnerControls"/>
    </e3f09c3df709400db2417a7161762d62>
    <Reviewer xmlns="8f75adca-0fe3-4657-b07a-186b256b984e" xsi:nil="true"/>
    <Instructions xmlns="8f75adca-0fe3-4657-b07a-186b256b984e" xsi:nil="true"/>
    <Status xmlns="8f75adca-0fe3-4657-b07a-186b256b984e" xsi:nil="true"/>
    <Reference_x0020_No xmlns="8f75adca-0fe3-4657-b07a-186b256b984e" xsi:nil="true"/>
    <Ref_x0020_No xmlns="8f75adca-0fe3-4657-b07a-186b256b984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29f62856-1543-49d4-a736-4569d363f533" ContentTypeId="0x0101"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E7C521BCFB1E584082B27A1B811DA110" ma:contentTypeVersion="31" ma:contentTypeDescription="Create a new document." ma:contentTypeScope="" ma:versionID="dec8bbe52569fa27a0d62c85a8ea2785">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7d7b659b-c050-4388-b6f3-49109a48db57" xmlns:ns6="8f75adca-0fe3-4657-b07a-186b256b984e" targetNamespace="http://schemas.microsoft.com/office/2006/metadata/properties" ma:root="true" ma:fieldsID="a5dfdc47bed80e5a102f3fe89057ad25" ns1:_="" ns2:_="" ns3:_="" ns4:_="" ns5:_="" ns6:_="">
    <xsd:import namespace="http://schemas.microsoft.com/sharepoint/v3"/>
    <xsd:import namespace="4ffa91fb-a0ff-4ac5-b2db-65c790d184a4"/>
    <xsd:import namespace="http://schemas.microsoft.com/sharepoint.v3"/>
    <xsd:import namespace="http://schemas.microsoft.com/sharepoint/v3/fields"/>
    <xsd:import namespace="7d7b659b-c050-4388-b6f3-49109a48db57"/>
    <xsd:import namespace="8f75adca-0fe3-4657-b07a-186b256b984e"/>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Reference_x0020_No" minOccurs="0"/>
                <xsd:element ref="ns6:Ref_x0020_No" minOccurs="0"/>
                <xsd:element ref="ns6:Reviewer" minOccurs="0"/>
                <xsd:element ref="ns6:Status" minOccurs="0"/>
                <xsd:element ref="ns5:LastSharedByUser" minOccurs="0"/>
                <xsd:element ref="ns5:LastSharedByTime" minOccurs="0"/>
                <xsd:element ref="ns6:Instructions" minOccurs="0"/>
                <xsd:element ref="ns6:MediaServiceMetadata" minOccurs="0"/>
                <xsd:element ref="ns6:MediaServiceFastMetadata" minOccurs="0"/>
                <xsd:element ref="ns6:MediaServiceAutoTags" minOccurs="0"/>
                <xsd:element ref="ns6:MediaServiceOCR" minOccurs="0"/>
                <xsd:element ref="ns6:MediaServiceAutoKeyPoints" minOccurs="0"/>
                <xsd:element ref="ns6: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ee8ad1b5-879f-4067-9706-71307984bf0c}" ma:internalName="TaxCatchAllLabel" ma:readOnly="true" ma:showField="CatchAllDataLabel"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ee8ad1b5-879f-4067-9706-71307984bf0c}" ma:internalName="TaxCatchAll" ma:showField="CatchAllData"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d7b659b-c050-4388-b6f3-49109a48db57"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5" nillable="true" ma:displayName="Last Shared By User" ma:description="" ma:internalName="LastSharedByUser" ma:readOnly="true">
      <xsd:simpleType>
        <xsd:restriction base="dms:Note">
          <xsd:maxLength value="255"/>
        </xsd:restriction>
      </xsd:simpleType>
    </xsd:element>
    <xsd:element name="LastSharedByTime" ma:index="36"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f75adca-0fe3-4657-b07a-186b256b984e" elementFormDefault="qualified">
    <xsd:import namespace="http://schemas.microsoft.com/office/2006/documentManagement/types"/>
    <xsd:import namespace="http://schemas.microsoft.com/office/infopath/2007/PartnerControls"/>
    <xsd:element name="Reference_x0020_No" ma:index="31" nillable="true" ma:displayName="Reference No" ma:internalName="Reference_x0020_No">
      <xsd:simpleType>
        <xsd:restriction base="dms:Note">
          <xsd:maxLength value="255"/>
        </xsd:restriction>
      </xsd:simpleType>
    </xsd:element>
    <xsd:element name="Ref_x0020_No" ma:index="32" nillable="true" ma:displayName="Ref No" ma:internalName="Ref_x0020_No">
      <xsd:simpleType>
        <xsd:restriction base="dms:Text">
          <xsd:maxLength value="255"/>
        </xsd:restriction>
      </xsd:simpleType>
    </xsd:element>
    <xsd:element name="Reviewer" ma:index="33" nillable="true" ma:displayName="Reviewer" ma:internalName="Reviewer">
      <xsd:simpleType>
        <xsd:restriction base="dms:Note">
          <xsd:maxLength value="255"/>
        </xsd:restriction>
      </xsd:simpleType>
    </xsd:element>
    <xsd:element name="Status" ma:index="34" nillable="true" ma:displayName="Status" ma:internalName="Status">
      <xsd:simpleType>
        <xsd:restriction base="dms:Text">
          <xsd:maxLength value="255"/>
        </xsd:restriction>
      </xsd:simpleType>
    </xsd:element>
    <xsd:element name="Instructions" ma:index="37" nillable="true" ma:displayName="Instructions" ma:internalName="Instructions">
      <xsd:simpleType>
        <xsd:restriction base="dms:Note">
          <xsd:maxLength value="255"/>
        </xsd:restriction>
      </xsd:simpleType>
    </xsd:element>
    <xsd:element name="MediaServiceMetadata" ma:index="38" nillable="true" ma:displayName="MediaServiceMetadata" ma:description="" ma:hidden="true" ma:internalName="MediaServiceMetadata" ma:readOnly="true">
      <xsd:simpleType>
        <xsd:restriction base="dms:Note"/>
      </xsd:simpleType>
    </xsd:element>
    <xsd:element name="MediaServiceFastMetadata" ma:index="39" nillable="true" ma:displayName="MediaServiceFastMetadata" ma:description="" ma:hidden="true" ma:internalName="MediaServiceFastMetadata" ma:readOnly="true">
      <xsd:simpleType>
        <xsd:restriction base="dms:Note"/>
      </xsd:simpleType>
    </xsd:element>
    <xsd:element name="MediaServiceAutoTags" ma:index="40" nillable="true" ma:displayName="Tags" ma:internalName="MediaServiceAutoTags" ma:readOnly="true">
      <xsd:simpleType>
        <xsd:restriction base="dms:Text"/>
      </xsd:simpleType>
    </xsd:element>
    <xsd:element name="MediaServiceOCR" ma:index="41" nillable="true" ma:displayName="Extracted Text" ma:internalName="MediaServiceOCR" ma:readOnly="true">
      <xsd:simpleType>
        <xsd:restriction base="dms:Note">
          <xsd:maxLength value="255"/>
        </xsd:restriction>
      </xsd:simpleType>
    </xsd:element>
    <xsd:element name="MediaServiceAutoKeyPoints" ma:index="42" nillable="true" ma:displayName="MediaServiceAutoKeyPoints" ma:hidden="true" ma:internalName="MediaServiceAutoKeyPoints" ma:readOnly="true">
      <xsd:simpleType>
        <xsd:restriction base="dms:Note"/>
      </xsd:simpleType>
    </xsd:element>
    <xsd:element name="MediaServiceKeyPoints" ma:index="43"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E9998-4563-4CD2-BAA8-BA3D4CCA58F1}">
  <ds:schemaRefs>
    <ds:schemaRef ds:uri="http://schemas.microsoft.com/sharepoint/v3"/>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8f75adca-0fe3-4657-b07a-186b256b984e"/>
    <ds:schemaRef ds:uri="7d7b659b-c050-4388-b6f3-49109a48db57"/>
    <ds:schemaRef ds:uri="http://schemas.microsoft.com/sharepoint/v3/fields"/>
    <ds:schemaRef ds:uri="http://purl.org/dc/elements/1.1/"/>
    <ds:schemaRef ds:uri="http://schemas.microsoft.com/office/2006/metadata/properties"/>
    <ds:schemaRef ds:uri="http://schemas.microsoft.com/sharepoint.v3"/>
    <ds:schemaRef ds:uri="4ffa91fb-a0ff-4ac5-b2db-65c790d184a4"/>
    <ds:schemaRef ds:uri="http://www.w3.org/XML/1998/namespace"/>
    <ds:schemaRef ds:uri="http://purl.org/dc/dcmitype/"/>
  </ds:schemaRefs>
</ds:datastoreItem>
</file>

<file path=customXml/itemProps2.xml><?xml version="1.0" encoding="utf-8"?>
<ds:datastoreItem xmlns:ds="http://schemas.openxmlformats.org/officeDocument/2006/customXml" ds:itemID="{347A6A29-B78E-4FCB-906B-D8F881937C9F}">
  <ds:schemaRefs>
    <ds:schemaRef ds:uri="http://schemas.microsoft.com/sharepoint/v3/contenttype/forms"/>
  </ds:schemaRefs>
</ds:datastoreItem>
</file>

<file path=customXml/itemProps3.xml><?xml version="1.0" encoding="utf-8"?>
<ds:datastoreItem xmlns:ds="http://schemas.openxmlformats.org/officeDocument/2006/customXml" ds:itemID="{F6EE34DE-772D-40AA-9C90-15DBE707B462}">
  <ds:schemaRefs>
    <ds:schemaRef ds:uri="Microsoft.SharePoint.Taxonomy.ContentTypeSync"/>
  </ds:schemaRefs>
</ds:datastoreItem>
</file>

<file path=customXml/itemProps4.xml><?xml version="1.0" encoding="utf-8"?>
<ds:datastoreItem xmlns:ds="http://schemas.openxmlformats.org/officeDocument/2006/customXml" ds:itemID="{CD215B2E-5130-46A1-A131-1DEA524DC1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7d7b659b-c050-4388-b6f3-49109a48db57"/>
    <ds:schemaRef ds:uri="8f75adca-0fe3-4657-b07a-186b256b98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Notes</vt:lpstr>
      <vt:lpstr>Documentation</vt:lpstr>
      <vt:lpstr>Greene County</vt:lpstr>
      <vt:lpstr>Butler County</vt:lpstr>
      <vt:lpstr>Washington County</vt:lpstr>
      <vt:lpstr>Molecular Weights</vt:lpstr>
      <vt:lpstr>PROFILE</vt:lpstr>
      <vt:lpstr>SPECIES</vt:lpstr>
      <vt:lpstr>PROFILE_REFERENCE_CROSSWALK</vt:lpstr>
      <vt:lpstr>REFERENCES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Ying</dc:creator>
  <cp:lastModifiedBy>Bray, Casey</cp:lastModifiedBy>
  <dcterms:created xsi:type="dcterms:W3CDTF">2020-02-05T11:01:07Z</dcterms:created>
  <dcterms:modified xsi:type="dcterms:W3CDTF">2020-07-08T14:47:04Z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0x010100E7C521BCFB1E584082B27A1B811DA110</vt:lpwstr>
  </property>
</Properties>
</file>