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pivotTables/pivotTable1.xml" ContentType="application/vnd.openxmlformats-officedocument.spreadsheetml.pivotTable+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pivotCache/pivotCacheDefinition1.xml" ContentType="application/vnd.openxmlformats-officedocument.spreadsheetml.pivotCacheDefinition+xml"/>
  <Override PartName="/xl/calcChain.xml" ContentType="application/vnd.openxmlformats-officedocument.spreadsheetml.calcChain+xml"/>
  <Override PartName="/xl/sharedStrings.xml" ContentType="application/vnd.openxmlformats-officedocument.spreadsheetml.sharedStrings+xml"/>
  <Override PartName="/xl/pivotCache/pivotCacheRecords1.xml" ContentType="application/vnd.openxmlformats-officedocument.spreadsheetml.pivotCacheRecord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14295" windowHeight="8895" firstSheet="1" activeTab="1"/>
  </bookViews>
  <sheets>
    <sheet name="Sheet1" sheetId="7" r:id="rId1"/>
    <sheet name="EAF Facilities 2008" sheetId="1" r:id="rId2"/>
  </sheets>
  <definedNames>
    <definedName name="_xlnm._FilterDatabase" localSheetId="1" hidden="1">'EAF Facilities 2008'!$A$1:$AP$175</definedName>
  </definedNames>
  <calcPr calcId="125725"/>
  <pivotCaches>
    <pivotCache cacheId="1" r:id="rId3"/>
  </pivotCaches>
</workbook>
</file>

<file path=xl/calcChain.xml><?xml version="1.0" encoding="utf-8"?>
<calcChain xmlns="http://schemas.openxmlformats.org/spreadsheetml/2006/main">
  <c r="AM89" i="1"/>
  <c r="AC89"/>
  <c r="AM88"/>
  <c r="AC88"/>
  <c r="AC169"/>
  <c r="AC170"/>
  <c r="AM164" l="1"/>
  <c r="AC164"/>
  <c r="AC174"/>
  <c r="AC173"/>
  <c r="AC172"/>
  <c r="AC171"/>
  <c r="AM172"/>
  <c r="AM168"/>
  <c r="AC168"/>
  <c r="AM157"/>
  <c r="AC157"/>
  <c r="AM58"/>
  <c r="AC58"/>
  <c r="AM57"/>
  <c r="AC57"/>
  <c r="AM56"/>
  <c r="AC56"/>
  <c r="AM39"/>
  <c r="AC39"/>
  <c r="AM38"/>
  <c r="AC38"/>
  <c r="AM37"/>
  <c r="AC37"/>
  <c r="AM36"/>
  <c r="AC36"/>
  <c r="AM35"/>
  <c r="AC35"/>
  <c r="AM34"/>
  <c r="AC34"/>
  <c r="AM33"/>
  <c r="AC33"/>
  <c r="AM60"/>
  <c r="AC60"/>
  <c r="AM62"/>
  <c r="AC62"/>
  <c r="AM117"/>
  <c r="AC117"/>
  <c r="AM116"/>
  <c r="AC116"/>
  <c r="AM108" l="1"/>
  <c r="AC108"/>
  <c r="AM96"/>
  <c r="AC96"/>
  <c r="AM137"/>
  <c r="AC137"/>
  <c r="Z137"/>
  <c r="AA137" s="1"/>
  <c r="AM136"/>
  <c r="AC136"/>
  <c r="Z136"/>
  <c r="AA136" s="1"/>
  <c r="AM146"/>
  <c r="AC146"/>
  <c r="AM161"/>
  <c r="AC161"/>
  <c r="AM65"/>
  <c r="AC65"/>
  <c r="AM131"/>
  <c r="AC131"/>
  <c r="AM130"/>
  <c r="AC130"/>
  <c r="AM129"/>
  <c r="AC129"/>
  <c r="AM128"/>
  <c r="AC128"/>
  <c r="AM127"/>
  <c r="AC127"/>
  <c r="AM126"/>
  <c r="AC126"/>
  <c r="AM125"/>
  <c r="AC125"/>
  <c r="AM124"/>
  <c r="AC124"/>
  <c r="AM174"/>
  <c r="AM173"/>
  <c r="AE173"/>
  <c r="AM171"/>
  <c r="AM170"/>
  <c r="AM169"/>
  <c r="AM101" l="1"/>
  <c r="AC101"/>
  <c r="AM68"/>
  <c r="AE68"/>
  <c r="AC68"/>
  <c r="AC4" l="1"/>
  <c r="AM167"/>
  <c r="AM166"/>
  <c r="AM165"/>
  <c r="AM163"/>
  <c r="AM162"/>
  <c r="AM160"/>
  <c r="AM159"/>
  <c r="AM158"/>
  <c r="AM156"/>
  <c r="AM155"/>
  <c r="AM154"/>
  <c r="AM153"/>
  <c r="AM152"/>
  <c r="AM151"/>
  <c r="AM150"/>
  <c r="AM149"/>
  <c r="AM148"/>
  <c r="AM147"/>
  <c r="AM145"/>
  <c r="AM144"/>
  <c r="AM143"/>
  <c r="AM142"/>
  <c r="AM141"/>
  <c r="AM140"/>
  <c r="AM139"/>
  <c r="AM138"/>
  <c r="AM135"/>
  <c r="AM134"/>
  <c r="AM133"/>
  <c r="AM132"/>
  <c r="AM123"/>
  <c r="AM122"/>
  <c r="AM121"/>
  <c r="AM120"/>
  <c r="AM119"/>
  <c r="AM118"/>
  <c r="AM115"/>
  <c r="AM114"/>
  <c r="AM113"/>
  <c r="AM112"/>
  <c r="AM111"/>
  <c r="AM110"/>
  <c r="AM109"/>
  <c r="AM107"/>
  <c r="AM106"/>
  <c r="AM105"/>
  <c r="AM104"/>
  <c r="AM103"/>
  <c r="AM102"/>
  <c r="AM100"/>
  <c r="AM99"/>
  <c r="AM98"/>
  <c r="AM97"/>
  <c r="AM95"/>
  <c r="AM94"/>
  <c r="AM93"/>
  <c r="AM92"/>
  <c r="AM91"/>
  <c r="AM90"/>
  <c r="AM87"/>
  <c r="AM86"/>
  <c r="AM85"/>
  <c r="AM84"/>
  <c r="AM83"/>
  <c r="AM82"/>
  <c r="AM81"/>
  <c r="AM80"/>
  <c r="AM79"/>
  <c r="AM78"/>
  <c r="AM77"/>
  <c r="AM76"/>
  <c r="AM75"/>
  <c r="AM74"/>
  <c r="AM73"/>
  <c r="AM72"/>
  <c r="AM71"/>
  <c r="AM70"/>
  <c r="AM69"/>
  <c r="AM67"/>
  <c r="AM66"/>
  <c r="AM64"/>
  <c r="AM63"/>
  <c r="AM61"/>
  <c r="AM59"/>
  <c r="AM55"/>
  <c r="AM54"/>
  <c r="AM53"/>
  <c r="AM52"/>
  <c r="AM51"/>
  <c r="AM50"/>
  <c r="AM49"/>
  <c r="AM48"/>
  <c r="AM47"/>
  <c r="AM46"/>
  <c r="AM45"/>
  <c r="AM44"/>
  <c r="AM43"/>
  <c r="AM42"/>
  <c r="AM41"/>
  <c r="AM40"/>
  <c r="AM32"/>
  <c r="AM31"/>
  <c r="AM30"/>
  <c r="AM29"/>
  <c r="AM28"/>
  <c r="AM27"/>
  <c r="AM26"/>
  <c r="AM25"/>
  <c r="AM24"/>
  <c r="AM23"/>
  <c r="AM22"/>
  <c r="AM21"/>
  <c r="AM20"/>
  <c r="AM19"/>
  <c r="AM18"/>
  <c r="AM17"/>
  <c r="AM16"/>
  <c r="AM15"/>
  <c r="AM14"/>
  <c r="AM13"/>
  <c r="AM12"/>
  <c r="AM11"/>
  <c r="AM10"/>
  <c r="AM9"/>
  <c r="AM8"/>
  <c r="AM7"/>
  <c r="AM6"/>
  <c r="AM5"/>
  <c r="AM3"/>
  <c r="AM2"/>
  <c r="AC32"/>
  <c r="AC31"/>
  <c r="AC30"/>
  <c r="AC29"/>
  <c r="AC28"/>
  <c r="AC27"/>
  <c r="AC26"/>
  <c r="AG45"/>
  <c r="AG44"/>
  <c r="AC45"/>
  <c r="AC167"/>
  <c r="AE155" l="1"/>
  <c r="AC155"/>
  <c r="AE154"/>
  <c r="AC154"/>
  <c r="AE153"/>
  <c r="AC153"/>
  <c r="AE152"/>
  <c r="AE140"/>
  <c r="AC119"/>
  <c r="AE93"/>
  <c r="AC93"/>
  <c r="AE92"/>
  <c r="AC92"/>
  <c r="AG113"/>
  <c r="AG112"/>
  <c r="AC114"/>
  <c r="AC113"/>
  <c r="AE91"/>
  <c r="AC91"/>
  <c r="AE90"/>
  <c r="AE82"/>
  <c r="AC82"/>
  <c r="AE81"/>
  <c r="AC81"/>
  <c r="AE80"/>
  <c r="AC80"/>
  <c r="AE79"/>
  <c r="AC25"/>
  <c r="AC24"/>
  <c r="AC23"/>
  <c r="AC22"/>
  <c r="AC21"/>
  <c r="AC20"/>
  <c r="AC7"/>
  <c r="AE147"/>
  <c r="AG86"/>
  <c r="AG85"/>
  <c r="AG84"/>
  <c r="AE86"/>
  <c r="AE85"/>
  <c r="AE84"/>
  <c r="AE83"/>
  <c r="AG78"/>
  <c r="AG77"/>
  <c r="AG76"/>
  <c r="AE78"/>
  <c r="AC78"/>
  <c r="AE77"/>
  <c r="AC77"/>
  <c r="AE76"/>
  <c r="AE74"/>
  <c r="AG70"/>
  <c r="AG69"/>
  <c r="AE67"/>
  <c r="AE66"/>
  <c r="AG53"/>
  <c r="AG52"/>
  <c r="AG51"/>
  <c r="AG50"/>
  <c r="AE53"/>
  <c r="AE52"/>
  <c r="AE51"/>
  <c r="AE50"/>
  <c r="AE47"/>
  <c r="AE42"/>
  <c r="AE41"/>
  <c r="AE40"/>
  <c r="AG42"/>
  <c r="AG41"/>
  <c r="AG40"/>
  <c r="AE17"/>
  <c r="AG122" l="1"/>
  <c r="AG121"/>
  <c r="AC166"/>
  <c r="AG159"/>
  <c r="AG158"/>
  <c r="AC159"/>
  <c r="AG144"/>
  <c r="AG143"/>
  <c r="AG142"/>
  <c r="AC144"/>
  <c r="AC143"/>
  <c r="AC122"/>
  <c r="AC121"/>
  <c r="AC135"/>
  <c r="Z135"/>
  <c r="Z134"/>
  <c r="AA134" l="1"/>
  <c r="AA135"/>
  <c r="AC73"/>
  <c r="AG106" l="1"/>
  <c r="AG105"/>
  <c r="AG104"/>
  <c r="AG103"/>
  <c r="AG102"/>
  <c r="AC106"/>
  <c r="AC105"/>
  <c r="AC104"/>
  <c r="AC103"/>
  <c r="AC86"/>
  <c r="AC85"/>
  <c r="AC53"/>
  <c r="AC52"/>
  <c r="AC51"/>
  <c r="AC42"/>
  <c r="AC41"/>
  <c r="AC149"/>
  <c r="AC64"/>
  <c r="AG150"/>
  <c r="AC165"/>
  <c r="AC163"/>
  <c r="AC162"/>
  <c r="AC160"/>
  <c r="AC158"/>
  <c r="AC156"/>
  <c r="AC152"/>
  <c r="AC151"/>
  <c r="AC148"/>
  <c r="AC147"/>
  <c r="AC145"/>
  <c r="AC142"/>
  <c r="AC141"/>
  <c r="AC140"/>
  <c r="AC139"/>
  <c r="AC138"/>
  <c r="AC134"/>
  <c r="AC133"/>
  <c r="AC132"/>
  <c r="AC123"/>
  <c r="AC120"/>
  <c r="AC118"/>
  <c r="AC115"/>
  <c r="AC112"/>
  <c r="AC111"/>
  <c r="AC110"/>
  <c r="AC109"/>
  <c r="AC107"/>
  <c r="AC102"/>
  <c r="AC100"/>
  <c r="AC99"/>
  <c r="AC98"/>
  <c r="AC97"/>
  <c r="AC95"/>
  <c r="AC94"/>
  <c r="AC90"/>
  <c r="AC87"/>
  <c r="AC84"/>
  <c r="AC83"/>
  <c r="AC79"/>
  <c r="AC76"/>
  <c r="AC75"/>
  <c r="AC74"/>
  <c r="AC72"/>
  <c r="AC71"/>
  <c r="AC70"/>
  <c r="AC69"/>
  <c r="AC67"/>
  <c r="AC66"/>
  <c r="AC63"/>
  <c r="AC61"/>
  <c r="AC59"/>
  <c r="AC55"/>
  <c r="AC54"/>
  <c r="AC50"/>
  <c r="AC49"/>
  <c r="AC48"/>
  <c r="AC47"/>
  <c r="AC46"/>
  <c r="AC44"/>
  <c r="AC40"/>
  <c r="AC19"/>
  <c r="AC18"/>
  <c r="AC17"/>
  <c r="AC16"/>
  <c r="AC15"/>
  <c r="AC14"/>
  <c r="AC13"/>
  <c r="AC12"/>
  <c r="AC11"/>
  <c r="AC10"/>
  <c r="AC9"/>
  <c r="AC8"/>
  <c r="AC6"/>
  <c r="AC5"/>
  <c r="AC3"/>
  <c r="AC2"/>
  <c r="AG139"/>
  <c r="AG138"/>
  <c r="Z115"/>
</calcChain>
</file>

<file path=xl/sharedStrings.xml><?xml version="1.0" encoding="utf-8"?>
<sst xmlns="http://schemas.openxmlformats.org/spreadsheetml/2006/main" count="4182" uniqueCount="1066">
  <si>
    <t>TRI Facility ID</t>
  </si>
  <si>
    <t>EIS Address</t>
  </si>
  <si>
    <t>EIS City</t>
  </si>
  <si>
    <t>EIS Facility Type</t>
  </si>
  <si>
    <t>EIS Op Status</t>
  </si>
  <si>
    <t>EIS Op Status Year</t>
  </si>
  <si>
    <t>1000011</t>
  </si>
  <si>
    <t>35603TRCST4301H</t>
  </si>
  <si>
    <t/>
  </si>
  <si>
    <t>NUCOR Steel Decatur LLC</t>
  </si>
  <si>
    <t>4301 Iverson Rd</t>
  </si>
  <si>
    <t>Trinity</t>
  </si>
  <si>
    <t>AL</t>
  </si>
  <si>
    <t>01103</t>
  </si>
  <si>
    <t>T|2005</t>
  </si>
  <si>
    <t>Steel Mill</t>
  </si>
  <si>
    <t>OP</t>
  </si>
  <si>
    <t>35234BRMNG4301F</t>
  </si>
  <si>
    <t>NUCOR STEEL BIRMINGHAM,INC.</t>
  </si>
  <si>
    <t>2301 Shuttlesworth DR</t>
  </si>
  <si>
    <t>Birmingham</t>
  </si>
  <si>
    <t>01073</t>
  </si>
  <si>
    <t>1002411</t>
  </si>
  <si>
    <t>35212SMSTLPOBOX</t>
  </si>
  <si>
    <t>SMI STEEL, INC.</t>
  </si>
  <si>
    <t>101 50th ST S</t>
  </si>
  <si>
    <t>1003711</t>
  </si>
  <si>
    <t>35404TSCLS1500H</t>
  </si>
  <si>
    <t>Nucor Tuscaloosa</t>
  </si>
  <si>
    <t>1700 Holt Rd</t>
  </si>
  <si>
    <t>Tuscaloosa</t>
  </si>
  <si>
    <t>01125</t>
  </si>
  <si>
    <t>S|2005</t>
  </si>
  <si>
    <t>1008911</t>
  </si>
  <si>
    <t>72316NCRYM5929E</t>
  </si>
  <si>
    <t>NUCOR-YAMATO STEEL COMPANY-BLYTHEVILLE</t>
  </si>
  <si>
    <t>5929 EAST STATE HWY 18</t>
  </si>
  <si>
    <t>BLYTHEVILLE</t>
  </si>
  <si>
    <t>AR</t>
  </si>
  <si>
    <t>05093</t>
  </si>
  <si>
    <t>1083611</t>
  </si>
  <si>
    <t>72112RKNSSVANDY</t>
  </si>
  <si>
    <t>ARKANSAS STEEL ASSOCIATES</t>
  </si>
  <si>
    <t>2803 VAN DYKE ROAD</t>
  </si>
  <si>
    <t>NEWPORT</t>
  </si>
  <si>
    <t>05067</t>
  </si>
  <si>
    <t>1084511</t>
  </si>
  <si>
    <t>72315NCRST7301E</t>
  </si>
  <si>
    <t>NUCOR CORPORATION-NUCOR STEEL ARKANSAS</t>
  </si>
  <si>
    <t>7301 EAST COUNTY ROAD 142</t>
  </si>
  <si>
    <t>60614FNKLS2011S</t>
  </si>
  <si>
    <t>A Finkl &amp; Sons Co</t>
  </si>
  <si>
    <t>2011 N Southport Ave</t>
  </si>
  <si>
    <t>Chicago</t>
  </si>
  <si>
    <t>IL</t>
  </si>
  <si>
    <t>17031</t>
  </si>
  <si>
    <t>R|2002</t>
  </si>
  <si>
    <t>2898511</t>
  </si>
  <si>
    <t>37921FLRDS1919T</t>
  </si>
  <si>
    <t>Gerdau Ameristeel</t>
  </si>
  <si>
    <t>1919 Tennessee Avenue</t>
  </si>
  <si>
    <t>Knoxville</t>
  </si>
  <si>
    <t>TN</t>
  </si>
  <si>
    <t>47093</t>
  </si>
  <si>
    <t>3188811</t>
  </si>
  <si>
    <t>LEHIGH SPECIALTY MELTING/LATROBE</t>
  </si>
  <si>
    <t>107 GERTRUDE ST</t>
  </si>
  <si>
    <t>LATROBE</t>
  </si>
  <si>
    <t>PA</t>
  </si>
  <si>
    <t>42129</t>
  </si>
  <si>
    <t>42073</t>
  </si>
  <si>
    <t>3819011</t>
  </si>
  <si>
    <t>15106NNLCT726BE</t>
  </si>
  <si>
    <t>Union Electric Steel Corporation</t>
  </si>
  <si>
    <t>726 Bell Street</t>
  </si>
  <si>
    <t>Carnegie</t>
  </si>
  <si>
    <t>42003</t>
  </si>
  <si>
    <t>3828811</t>
  </si>
  <si>
    <t>78156STRCTPOBOX</t>
  </si>
  <si>
    <t>FURNACE &amp; STEEL MILL</t>
  </si>
  <si>
    <t>STRUCTURAL METALS INC</t>
  </si>
  <si>
    <t>STEEL MILL RD</t>
  </si>
  <si>
    <t>SEGUIN</t>
  </si>
  <si>
    <t>TX</t>
  </si>
  <si>
    <t>48187</t>
  </si>
  <si>
    <t>3892811</t>
  </si>
  <si>
    <t>16003RMCDVROUTE</t>
  </si>
  <si>
    <t>AK STEEL CORP/BUTLER WORKS</t>
  </si>
  <si>
    <t>1 ARMCO DR</t>
  </si>
  <si>
    <t>42019</t>
  </si>
  <si>
    <t>Oil Technology  Inc  - Ispat Steel Plt#2</t>
  </si>
  <si>
    <t>3210 Watling St</t>
  </si>
  <si>
    <t>East Chicago</t>
  </si>
  <si>
    <t>IN</t>
  </si>
  <si>
    <t>18089</t>
  </si>
  <si>
    <t>N|2002</t>
  </si>
  <si>
    <t>4014511</t>
  </si>
  <si>
    <t>38305FLRDSUSHIG</t>
  </si>
  <si>
    <t>GERDAU AMERISTEEL</t>
  </si>
  <si>
    <t>801 GERDAU AMERISTEEL RD</t>
  </si>
  <si>
    <t>JACKSON</t>
  </si>
  <si>
    <t>47113</t>
  </si>
  <si>
    <t>4097111</t>
  </si>
  <si>
    <t>61081STRLN101AV</t>
  </si>
  <si>
    <t>Sterling Steel Co LLC</t>
  </si>
  <si>
    <t>101 Avenue K</t>
  </si>
  <si>
    <t>Sterling</t>
  </si>
  <si>
    <t>17195</t>
  </si>
  <si>
    <t>4104211</t>
  </si>
  <si>
    <t>15650LTRBS2626L</t>
  </si>
  <si>
    <t>LATROBE SPECIALTY STEEL/LATROBE PLT</t>
  </si>
  <si>
    <t>2626 LIGONIER ST</t>
  </si>
  <si>
    <t>81004CFSTL225CA</t>
  </si>
  <si>
    <t>CF &amp; I STEEL L P</t>
  </si>
  <si>
    <t>2100 S. FREEWAY</t>
  </si>
  <si>
    <t>PUEBLO AREA</t>
  </si>
  <si>
    <t>CO</t>
  </si>
  <si>
    <t>08101</t>
  </si>
  <si>
    <t>4543911</t>
  </si>
  <si>
    <t>46801SLTRS2400T</t>
  </si>
  <si>
    <t>Valbruna Slater Stainless, Inc</t>
  </si>
  <si>
    <t>2400 Taylor Street West</t>
  </si>
  <si>
    <t>Fort Wayne</t>
  </si>
  <si>
    <t>18003</t>
  </si>
  <si>
    <t>ONRE</t>
  </si>
  <si>
    <t>4760011</t>
  </si>
  <si>
    <t>16301LCTRL175MA</t>
  </si>
  <si>
    <t>ELECTRALLOY GO CARLSON/OIL CITY</t>
  </si>
  <si>
    <t>175 MAIN ST</t>
  </si>
  <si>
    <t>OIL CITY</t>
  </si>
  <si>
    <t>42121</t>
  </si>
  <si>
    <t>4840211</t>
  </si>
  <si>
    <t>TAMCO</t>
  </si>
  <si>
    <t>12459-B ARROW ROUTE</t>
  </si>
  <si>
    <t>RANCHO CUCAMONGA</t>
  </si>
  <si>
    <t>CA</t>
  </si>
  <si>
    <t>06071</t>
  </si>
  <si>
    <t>4930611</t>
  </si>
  <si>
    <t>75846NCRSTHWY79</t>
  </si>
  <si>
    <t>NUCOR STEEL</t>
  </si>
  <si>
    <t>S OF US 79 &amp; E OF FM 39</t>
  </si>
  <si>
    <t>JEWETT</t>
  </si>
  <si>
    <t>48289</t>
  </si>
  <si>
    <t>4947711</t>
  </si>
  <si>
    <t>29033WNLCT310NE</t>
  </si>
  <si>
    <t>CMC STEEL SOUTH CAROLINA</t>
  </si>
  <si>
    <t>310 NEW STATE RD</t>
  </si>
  <si>
    <t>CAYCE</t>
  </si>
  <si>
    <t>SC</t>
  </si>
  <si>
    <t>45063</t>
  </si>
  <si>
    <t>4951411</t>
  </si>
  <si>
    <t>29532NCRSTBOX52</t>
  </si>
  <si>
    <t>NUCOR STEEL DARLINGTON</t>
  </si>
  <si>
    <t>300 STEEL MILL RD</t>
  </si>
  <si>
    <t>DARLINGTON</t>
  </si>
  <si>
    <t>45031</t>
  </si>
  <si>
    <t>4953011</t>
  </si>
  <si>
    <t>29450NCRST1455H</t>
  </si>
  <si>
    <t>NUCOR STEEL BERKELEY</t>
  </si>
  <si>
    <t>1455 HAGAN AVE</t>
  </si>
  <si>
    <t>HUGER</t>
  </si>
  <si>
    <t>45015</t>
  </si>
  <si>
    <t>4967711</t>
  </si>
  <si>
    <t>16329NTNLF1FRON</t>
  </si>
  <si>
    <t>ELLWOOD NATL FORGE/IRVINE</t>
  </si>
  <si>
    <t>1 FRONT ST</t>
  </si>
  <si>
    <t>IRVINE</t>
  </si>
  <si>
    <t>42123</t>
  </si>
  <si>
    <t>4968111</t>
  </si>
  <si>
    <t>ALLEGHENY LUDLUM CORP/LATROBE FAC</t>
  </si>
  <si>
    <t>136 ALLVAC LN</t>
  </si>
  <si>
    <t>5198911</t>
  </si>
  <si>
    <t>41045NRTHMUS42E</t>
  </si>
  <si>
    <t>North American Stainless</t>
  </si>
  <si>
    <t>6870 US 42 E</t>
  </si>
  <si>
    <t>Ghent</t>
  </si>
  <si>
    <t>KY</t>
  </si>
  <si>
    <t>21041</t>
  </si>
  <si>
    <t>5206211</t>
  </si>
  <si>
    <t>KES Acquisition Co LLC</t>
  </si>
  <si>
    <t>2704 S Big Run Rd</t>
  </si>
  <si>
    <t>Ashland</t>
  </si>
  <si>
    <t>21019</t>
  </si>
  <si>
    <t>553311</t>
  </si>
  <si>
    <t>30120TLNTCPEEPL</t>
  </si>
  <si>
    <t>Gerdau Ameristeel US Inc.</t>
  </si>
  <si>
    <t>384 Old Grassdale Rd</t>
  </si>
  <si>
    <t>Cartersville</t>
  </si>
  <si>
    <t>GA</t>
  </si>
  <si>
    <t>13015</t>
  </si>
  <si>
    <t>5680611</t>
  </si>
  <si>
    <t>77701NRTHSOLDHI</t>
  </si>
  <si>
    <t>GERDAU AMERISTEEL BEAUMONT MILL</t>
  </si>
  <si>
    <t>OLD HWY 90</t>
  </si>
  <si>
    <t>ROSE CITY</t>
  </si>
  <si>
    <t>48361</t>
  </si>
  <si>
    <t>5684911</t>
  </si>
  <si>
    <t>15935FRSTMRTE60</t>
  </si>
  <si>
    <t>NORTH AMERICAN HOGANAS INC/STONY CREEK PLT</t>
  </si>
  <si>
    <t>111 HOGANAS WAY</t>
  </si>
  <si>
    <t>HOLLSOPPLE</t>
  </si>
  <si>
    <t>42111</t>
  </si>
  <si>
    <t>5698711</t>
  </si>
  <si>
    <t>29442GRGTWSOUTH</t>
  </si>
  <si>
    <t>ARCELORMITTAL GEORGETOWN INC</t>
  </si>
  <si>
    <t>1219 FRONT ST</t>
  </si>
  <si>
    <t>GEORGETOWN</t>
  </si>
  <si>
    <t>45043</t>
  </si>
  <si>
    <t>5706611</t>
  </si>
  <si>
    <t>37066HGNSC810ST</t>
  </si>
  <si>
    <t>HOEGANAES CORPORATION</t>
  </si>
  <si>
    <t>1315 AIRPORT ROAD</t>
  </si>
  <si>
    <t>GALLATIN</t>
  </si>
  <si>
    <t>47165</t>
  </si>
  <si>
    <t>6508311</t>
  </si>
  <si>
    <t>79912BRDRSVINTO</t>
  </si>
  <si>
    <t>ARCELORMITTAL VINTON</t>
  </si>
  <si>
    <t>IH 10 &amp; VINTON RD</t>
  </si>
  <si>
    <t>EL PASO</t>
  </si>
  <si>
    <t>48141</t>
  </si>
  <si>
    <t>6533011</t>
  </si>
  <si>
    <t>16101LLWDD700MO</t>
  </si>
  <si>
    <t>ELLWOOD QUALITY STEELS CO/NEW CASTLE PLT</t>
  </si>
  <si>
    <t>700 MORAVIA ST</t>
  </si>
  <si>
    <t>NEW CASTLE</t>
  </si>
  <si>
    <t>6581311</t>
  </si>
  <si>
    <t>17009STNDR500WA</t>
  </si>
  <si>
    <t>STD STEEL/BURNHAM</t>
  </si>
  <si>
    <t>500 N WALNUT ST</t>
  </si>
  <si>
    <t>BURNHAM</t>
  </si>
  <si>
    <t>42087</t>
  </si>
  <si>
    <t>6633511</t>
  </si>
  <si>
    <t>24017RNKLC102WE</t>
  </si>
  <si>
    <t>RES dba Steel Dynamics Roanoke Bar Division</t>
  </si>
  <si>
    <t>102 Westside Blvd Nw</t>
  </si>
  <si>
    <t>Roanoke</t>
  </si>
  <si>
    <t>VA</t>
  </si>
  <si>
    <t>51770</t>
  </si>
  <si>
    <t>6641511</t>
  </si>
  <si>
    <t>75601MRTHN2400S</t>
  </si>
  <si>
    <t>LONGVIEW DIVISION</t>
  </si>
  <si>
    <t>2400 S MCARTHUR ST</t>
  </si>
  <si>
    <t>LONGVIEW</t>
  </si>
  <si>
    <t>48183</t>
  </si>
  <si>
    <t>6742911</t>
  </si>
  <si>
    <t>23803CHPRR25801</t>
  </si>
  <si>
    <t>Chaparral Virginia Incorporated</t>
  </si>
  <si>
    <t>25801 Hofheimer Way</t>
  </si>
  <si>
    <t>Petersburg</t>
  </si>
  <si>
    <t>51053</t>
  </si>
  <si>
    <t>7146811</t>
  </si>
  <si>
    <t>55119NRTHS1678R</t>
  </si>
  <si>
    <t>Gerdau Ameristeel US Inc - St Paul Mill</t>
  </si>
  <si>
    <t>1678 Red Rock Rd</t>
  </si>
  <si>
    <t>ST. PAUL</t>
  </si>
  <si>
    <t>MN</t>
  </si>
  <si>
    <t>27123</t>
  </si>
  <si>
    <t>7286511</t>
  </si>
  <si>
    <t>68701NCRSTRURAL</t>
  </si>
  <si>
    <t>Nucor Steel</t>
  </si>
  <si>
    <t>2911 E Nucor Rd</t>
  </si>
  <si>
    <t>Norfolk</t>
  </si>
  <si>
    <t>NE</t>
  </si>
  <si>
    <t>31167</t>
  </si>
  <si>
    <t>7290011</t>
  </si>
  <si>
    <t>39208BSCSTFOURT</t>
  </si>
  <si>
    <t>Nucor Steel Jackson  Inc</t>
  </si>
  <si>
    <t>3630 4th Street</t>
  </si>
  <si>
    <t>Flowood</t>
  </si>
  <si>
    <t>MS</t>
  </si>
  <si>
    <t>28121</t>
  </si>
  <si>
    <t>Canton</t>
  </si>
  <si>
    <t>OH</t>
  </si>
  <si>
    <t>39151</t>
  </si>
  <si>
    <t>7361711</t>
  </si>
  <si>
    <t>46902HYNSN1020W</t>
  </si>
  <si>
    <t>Haynes International  Inc</t>
  </si>
  <si>
    <t>2000 West Deffenbaugh Street</t>
  </si>
  <si>
    <t>Kokomo</t>
  </si>
  <si>
    <t>18067</t>
  </si>
  <si>
    <t>7376911</t>
  </si>
  <si>
    <t>46721STLDY4500C</t>
  </si>
  <si>
    <t>Steel Dynamics  Inc</t>
  </si>
  <si>
    <t>4500 CR 59</t>
  </si>
  <si>
    <t>Butler</t>
  </si>
  <si>
    <t>18033</t>
  </si>
  <si>
    <t>7410711</t>
  </si>
  <si>
    <t>97128CSCDS3200N</t>
  </si>
  <si>
    <t>Cascade Steel Rolling Mills, Inc.</t>
  </si>
  <si>
    <t>3200 N HWY 99W</t>
  </si>
  <si>
    <t>MCMINNVILLE</t>
  </si>
  <si>
    <t>OR</t>
  </si>
  <si>
    <t>41071</t>
  </si>
  <si>
    <t>7427611</t>
  </si>
  <si>
    <t>84330NCRST7285W</t>
  </si>
  <si>
    <t>Nucor Bar Mill Group - Plymouth Division</t>
  </si>
  <si>
    <t>West Cemetery Rd</t>
  </si>
  <si>
    <t>Plymouth</t>
  </si>
  <si>
    <t>UT</t>
  </si>
  <si>
    <t>49003</t>
  </si>
  <si>
    <t>7430011</t>
  </si>
  <si>
    <t>41096GLLTNUS42W</t>
  </si>
  <si>
    <t>Gallatin Steel Co</t>
  </si>
  <si>
    <t>4831 US 42 W</t>
  </si>
  <si>
    <t>21077</t>
  </si>
  <si>
    <t>7434211</t>
  </si>
  <si>
    <t>43302MRNST912CH</t>
  </si>
  <si>
    <t>Nucor Steel Marion, Inc. (0351010017)</t>
  </si>
  <si>
    <t>912 Cheney Avenue</t>
  </si>
  <si>
    <t>Marion</t>
  </si>
  <si>
    <t>39101</t>
  </si>
  <si>
    <t>7436511</t>
  </si>
  <si>
    <t>13209CRCBLSTATE</t>
  </si>
  <si>
    <t>Crucible Materials Corp</t>
  </si>
  <si>
    <t>575 State Fair Blvd.</t>
  </si>
  <si>
    <t>Solvay</t>
  </si>
  <si>
    <t>NY</t>
  </si>
  <si>
    <t>36067</t>
  </si>
  <si>
    <t>7503711</t>
  </si>
  <si>
    <t>98106SLMNB2424S</t>
  </si>
  <si>
    <t>Nucor Steel Seattle Inc</t>
  </si>
  <si>
    <t>2424 SW Andover St</t>
  </si>
  <si>
    <t>Seattle</t>
  </si>
  <si>
    <t>WA</t>
  </si>
  <si>
    <t>53033</t>
  </si>
  <si>
    <t>MIDLAND</t>
  </si>
  <si>
    <t>42007</t>
  </si>
  <si>
    <t>GERDAU AMERISTEEL US INC</t>
  </si>
  <si>
    <t>IA</t>
  </si>
  <si>
    <t>19139</t>
  </si>
  <si>
    <t>7892311</t>
  </si>
  <si>
    <t>52761PSCST1770B</t>
  </si>
  <si>
    <t>SSAB IOWA, INC - MUSCATINE</t>
  </si>
  <si>
    <t>1770 BILL SHARP BLVD</t>
  </si>
  <si>
    <t>MUSCATINE</t>
  </si>
  <si>
    <t>61641KYSTN7000S</t>
  </si>
  <si>
    <t>Keystone Steel &amp; Wire Co</t>
  </si>
  <si>
    <t>7000 SW Adams St</t>
  </si>
  <si>
    <t>Peoria</t>
  </si>
  <si>
    <t>17143</t>
  </si>
  <si>
    <t>7921911</t>
  </si>
  <si>
    <t>43515NRTHS6767C</t>
  </si>
  <si>
    <t>NorthStar Bluescope Steel, LLC (0326000073)</t>
  </si>
  <si>
    <t>6767 County Road 9</t>
  </si>
  <si>
    <t>Delta</t>
  </si>
  <si>
    <t>39051</t>
  </si>
  <si>
    <t>17119</t>
  </si>
  <si>
    <t>7991611</t>
  </si>
  <si>
    <t>15014LLGHNRIVER</t>
  </si>
  <si>
    <t>Allegheny Ludlum Corp - Brackenridge</t>
  </si>
  <si>
    <t>100 River Road</t>
  </si>
  <si>
    <t>Brackenridge</t>
  </si>
  <si>
    <t>7994811</t>
  </si>
  <si>
    <t>13021BRNSTQUARR</t>
  </si>
  <si>
    <t>NUCOR STEEL AUBURN INC</t>
  </si>
  <si>
    <t>25 QUARRY ROAD</t>
  </si>
  <si>
    <t>AUBURN</t>
  </si>
  <si>
    <t>36011</t>
  </si>
  <si>
    <t>8005811</t>
  </si>
  <si>
    <t>15017CYTMPMAYER</t>
  </si>
  <si>
    <t>Universal Stainless &amp; Alloy Products</t>
  </si>
  <si>
    <t>600 Mayer Street</t>
  </si>
  <si>
    <t>Bridgeville</t>
  </si>
  <si>
    <t>NC</t>
  </si>
  <si>
    <t>8050311</t>
  </si>
  <si>
    <t>44901MPRDT913BO</t>
  </si>
  <si>
    <t>AK Steel Corp - Mansfield Operations (0370010023)</t>
  </si>
  <si>
    <t>913 Bowman Street</t>
  </si>
  <si>
    <t>Mansfield</t>
  </si>
  <si>
    <t>39139</t>
  </si>
  <si>
    <t>49204QNXCRPOBOX</t>
  </si>
  <si>
    <t>Gerdau MACSTEEL Jackson</t>
  </si>
  <si>
    <t>3100  BROOKLYN RD</t>
  </si>
  <si>
    <t>MI</t>
  </si>
  <si>
    <t>26075</t>
  </si>
  <si>
    <t>8141411</t>
  </si>
  <si>
    <t>JEWEL ACQUISITION/MIDLAND FAC</t>
  </si>
  <si>
    <t>1200 MIDLAND AVE</t>
  </si>
  <si>
    <t>8187311</t>
  </si>
  <si>
    <t>46368BTSTL6500S</t>
  </si>
  <si>
    <t>Beta Steel Corp.</t>
  </si>
  <si>
    <t>6500 S BOUNDARY RD</t>
  </si>
  <si>
    <t>Portage</t>
  </si>
  <si>
    <t>18127</t>
  </si>
  <si>
    <t>8190711</t>
  </si>
  <si>
    <t>43952WHLNGMCLIS</t>
  </si>
  <si>
    <t>Severstal Wheeling, Inc (0641090010)</t>
  </si>
  <si>
    <t>540 Commercial Ave</t>
  </si>
  <si>
    <t>Mingo Junction</t>
  </si>
  <si>
    <t>39081</t>
  </si>
  <si>
    <t>8199711</t>
  </si>
  <si>
    <t>46725STLDY2601C</t>
  </si>
  <si>
    <t>Steel Dynamics. Inc. (SDI), Structual and Rail Division</t>
  </si>
  <si>
    <t>2601 S CR 700 E</t>
  </si>
  <si>
    <t>Columbia City</t>
  </si>
  <si>
    <t>18183</t>
  </si>
  <si>
    <t>8221411</t>
  </si>
  <si>
    <t>16136BBCCKMOUNT</t>
  </si>
  <si>
    <t>IPSCO KOPPEL TUBULARS CORP/KOPPEL PLT</t>
  </si>
  <si>
    <t>IPSCO KOPPEL TUBULARS CORP</t>
  </si>
  <si>
    <t>MOUNT ST</t>
  </si>
  <si>
    <t>KOPPEL</t>
  </si>
  <si>
    <t>8221911</t>
  </si>
  <si>
    <t>62002LCLDSCUTST</t>
  </si>
  <si>
    <t>Alton Steel Inc</t>
  </si>
  <si>
    <t>#5 Cut St</t>
  </si>
  <si>
    <t>Alton</t>
  </si>
  <si>
    <t>8224911</t>
  </si>
  <si>
    <t>47933NCRST400SO</t>
  </si>
  <si>
    <t>4537 S NUCOR RD</t>
  </si>
  <si>
    <t>Crawfordsville</t>
  </si>
  <si>
    <t>18107</t>
  </si>
  <si>
    <t>8234411</t>
  </si>
  <si>
    <t>74063SHFFL2300S</t>
  </si>
  <si>
    <t>2300 S HWY 97</t>
  </si>
  <si>
    <t>SAND SPRINGS</t>
  </si>
  <si>
    <t>OK</t>
  </si>
  <si>
    <t>40143</t>
  </si>
  <si>
    <t>8234611</t>
  </si>
  <si>
    <t>19612CRPNT101WB</t>
  </si>
  <si>
    <t>CARPENTER TECH CORP/READING PLT</t>
  </si>
  <si>
    <t>101 BERN ST</t>
  </si>
  <si>
    <t>READING</t>
  </si>
  <si>
    <t>42011</t>
  </si>
  <si>
    <t>827611</t>
  </si>
  <si>
    <t>32234FLRDSHWY21</t>
  </si>
  <si>
    <t>GERDAU AMERISTEEL JACKSONVILLE MILL DIV.</t>
  </si>
  <si>
    <t>16770 REBAR ROAD</t>
  </si>
  <si>
    <t>JACKSONVILLE</t>
  </si>
  <si>
    <t>FL</t>
  </si>
  <si>
    <t>12031</t>
  </si>
  <si>
    <t>8311911</t>
  </si>
  <si>
    <t>27922NCRST1505R</t>
  </si>
  <si>
    <t>1505 River Road SR 1400</t>
  </si>
  <si>
    <t>Cofield</t>
  </si>
  <si>
    <t>37091</t>
  </si>
  <si>
    <t>1835 Dueber Avenue, S.W.</t>
  </si>
  <si>
    <t>8521511</t>
  </si>
  <si>
    <t>44704LTVST26338</t>
  </si>
  <si>
    <t>Republic Engineered Products, Inc. (1576050694)</t>
  </si>
  <si>
    <t>2633 Eighth Street NE</t>
  </si>
  <si>
    <t>9662811</t>
  </si>
  <si>
    <t>46167QLTCH8000N</t>
  </si>
  <si>
    <t>Steel Dynamics, Inc (Sdi) Bar Products</t>
  </si>
  <si>
    <t>8000 N County Rd 225 E</t>
  </si>
  <si>
    <t>Pittsboro</t>
  </si>
  <si>
    <t>18063</t>
  </si>
  <si>
    <t>976111</t>
  </si>
  <si>
    <t>72902QNXMC4700P</t>
  </si>
  <si>
    <t>QUANEX CORPORATION-MACSTEEL DIVISION</t>
  </si>
  <si>
    <t>5225 PLANTERS ROAD</t>
  </si>
  <si>
    <t>FORT SMITH</t>
  </si>
  <si>
    <t>05131</t>
  </si>
  <si>
    <t>985911</t>
  </si>
  <si>
    <t>36505PSCST12400</t>
  </si>
  <si>
    <t>SSAB Alabama Inc</t>
  </si>
  <si>
    <t>12400 Highway 43,North</t>
  </si>
  <si>
    <t>Axis</t>
  </si>
  <si>
    <t>01097</t>
  </si>
  <si>
    <t>12569611</t>
  </si>
  <si>
    <t>38109BRMNG3601P</t>
  </si>
  <si>
    <t>Nucor Steel Memphis Inc.</t>
  </si>
  <si>
    <t>3601 Paul R. Lowry Road</t>
  </si>
  <si>
    <t>Memphis</t>
  </si>
  <si>
    <t>47157</t>
  </si>
  <si>
    <t>13572711</t>
  </si>
  <si>
    <t>Faircrest Steel (1576222001)</t>
  </si>
  <si>
    <t>13572911</t>
  </si>
  <si>
    <t>Harrison Steel (1576222002)</t>
  </si>
  <si>
    <t>Richland</t>
  </si>
  <si>
    <t>Allegheny</t>
  </si>
  <si>
    <t>Alle-Latrobe-PA</t>
  </si>
  <si>
    <t>Westmoreland</t>
  </si>
  <si>
    <t>CMC-Birmingham-AL</t>
  </si>
  <si>
    <t>Jefferson</t>
  </si>
  <si>
    <t>CMC-Cayce-SC</t>
  </si>
  <si>
    <t>Lexington</t>
  </si>
  <si>
    <t>CMC-Seguin-TX</t>
  </si>
  <si>
    <t>Guadalupe</t>
  </si>
  <si>
    <t>Orange</t>
  </si>
  <si>
    <t>Ger-Cartersville-GA</t>
  </si>
  <si>
    <t>Bartow</t>
  </si>
  <si>
    <t>Jackson</t>
  </si>
  <si>
    <t>Madison</t>
  </si>
  <si>
    <t>Ger-Jacksonville-FL</t>
  </si>
  <si>
    <t>Duval</t>
  </si>
  <si>
    <t>Ger-Knoxville-TN</t>
  </si>
  <si>
    <t>Ger-StPaul-MN</t>
  </si>
  <si>
    <t>Muscatine</t>
  </si>
  <si>
    <t>NAS-Ghent-KY</t>
  </si>
  <si>
    <t>Carroll</t>
  </si>
  <si>
    <t>Mississippi</t>
  </si>
  <si>
    <t>Hertford</t>
  </si>
  <si>
    <t>Montgomery</t>
  </si>
  <si>
    <t>Darlington</t>
  </si>
  <si>
    <t>Berkeley</t>
  </si>
  <si>
    <t>Leon</t>
  </si>
  <si>
    <t>Stanton</t>
  </si>
  <si>
    <t>Whitley</t>
  </si>
  <si>
    <t>Hendricks</t>
  </si>
  <si>
    <t>SSAB-Axis-AL</t>
  </si>
  <si>
    <t>Mobile</t>
  </si>
  <si>
    <t>Stark</t>
  </si>
  <si>
    <t>TRI data, but no EIS data</t>
  </si>
  <si>
    <t>8125711</t>
  </si>
  <si>
    <t>SLT 2008</t>
  </si>
  <si>
    <t>SLT submitted Hg data. &gt;200% difference between EIS and TRI.  Not sure why state lower. SLT  Hg covers EAF processes.   Possibly TRI is an overestimate?</t>
  </si>
  <si>
    <t>SLT submitted Hg data. &gt;200% difference between EIS and TRI.  Not sure why lower.  2008  SLT Hg covers EAF processes</t>
  </si>
  <si>
    <t xml:space="preserve">SLT submitted Hg data for combustion but not EAF.  Gapfill EIS process id=43744714 ( SCC=30300908 ) unit id=36027013   </t>
  </si>
  <si>
    <t>RECENT TEST DATA MUCH GREATER THAN SLT EMISSIONS.  REQUEST STATE TO EXPLAIN.   SLT submitted Hg data</t>
  </si>
  <si>
    <t>0037</t>
  </si>
  <si>
    <t>ADEM</t>
  </si>
  <si>
    <t>ALJCBOH</t>
  </si>
  <si>
    <t>010730080</t>
  </si>
  <si>
    <t>0033</t>
  </si>
  <si>
    <t>0509300202</t>
  </si>
  <si>
    <t>ARDEQ</t>
  </si>
  <si>
    <t>0506700033</t>
  </si>
  <si>
    <t>031600ATP</t>
  </si>
  <si>
    <t>ILEPA</t>
  </si>
  <si>
    <t>0568</t>
  </si>
  <si>
    <t>KC_DAQM</t>
  </si>
  <si>
    <t>421290015</t>
  </si>
  <si>
    <t>PADEP</t>
  </si>
  <si>
    <t>4200300358</t>
  </si>
  <si>
    <t>PAACHD</t>
  </si>
  <si>
    <t>1</t>
  </si>
  <si>
    <t>TXCEQ</t>
  </si>
  <si>
    <t>420190007</t>
  </si>
  <si>
    <t>00369</t>
  </si>
  <si>
    <t>INDEM</t>
  </si>
  <si>
    <t>0189</t>
  </si>
  <si>
    <t>TNDEC</t>
  </si>
  <si>
    <t>195818AAI</t>
  </si>
  <si>
    <t>421290017</t>
  </si>
  <si>
    <t>101-0048</t>
  </si>
  <si>
    <t>CODPHE</t>
  </si>
  <si>
    <t>00011</t>
  </si>
  <si>
    <t>421210005</t>
  </si>
  <si>
    <t>CARB</t>
  </si>
  <si>
    <t>1560-0087</t>
  </si>
  <si>
    <t>SCDHEC</t>
  </si>
  <si>
    <t>0820-0001</t>
  </si>
  <si>
    <t>0420-0060</t>
  </si>
  <si>
    <t>421230002</t>
  </si>
  <si>
    <t>421290065</t>
  </si>
  <si>
    <t>2104100034</t>
  </si>
  <si>
    <t>KYDAQ</t>
  </si>
  <si>
    <t>2101900020</t>
  </si>
  <si>
    <t>01500032</t>
  </si>
  <si>
    <t>GADNR</t>
  </si>
  <si>
    <t>16</t>
  </si>
  <si>
    <t>421110013</t>
  </si>
  <si>
    <t>1140-0004</t>
  </si>
  <si>
    <t>0129</t>
  </si>
  <si>
    <t>2</t>
  </si>
  <si>
    <t>420730023</t>
  </si>
  <si>
    <t>420870003</t>
  </si>
  <si>
    <t>20131</t>
  </si>
  <si>
    <t>VADEQ</t>
  </si>
  <si>
    <t>10</t>
  </si>
  <si>
    <t>51264</t>
  </si>
  <si>
    <t>2712300055</t>
  </si>
  <si>
    <t>MNPCA</t>
  </si>
  <si>
    <t>00002</t>
  </si>
  <si>
    <t>NEDEQ</t>
  </si>
  <si>
    <t>2812100003</t>
  </si>
  <si>
    <t>MSDEQ</t>
  </si>
  <si>
    <t>00009</t>
  </si>
  <si>
    <t>00043</t>
  </si>
  <si>
    <t>36-5034</t>
  </si>
  <si>
    <t>ORDEQ</t>
  </si>
  <si>
    <t>10008</t>
  </si>
  <si>
    <t>UTDAQ</t>
  </si>
  <si>
    <t>2107700018</t>
  </si>
  <si>
    <t>0351010017</t>
  </si>
  <si>
    <t>OHEPA</t>
  </si>
  <si>
    <t>10281</t>
  </si>
  <si>
    <t>WAPSCAA</t>
  </si>
  <si>
    <t>IADNR</t>
  </si>
  <si>
    <t>70-08-002</t>
  </si>
  <si>
    <t>143808AAA</t>
  </si>
  <si>
    <t>0326000073</t>
  </si>
  <si>
    <t>4200300093</t>
  </si>
  <si>
    <t>7050100044</t>
  </si>
  <si>
    <t>NYDEC</t>
  </si>
  <si>
    <t>4200300003</t>
  </si>
  <si>
    <t>0370010023</t>
  </si>
  <si>
    <t>B4306</t>
  </si>
  <si>
    <t>MIDEQ</t>
  </si>
  <si>
    <t>420070043</t>
  </si>
  <si>
    <t>00036</t>
  </si>
  <si>
    <t>0641090010</t>
  </si>
  <si>
    <t>00030</t>
  </si>
  <si>
    <t>420070027</t>
  </si>
  <si>
    <t>119010AAE</t>
  </si>
  <si>
    <t>00038</t>
  </si>
  <si>
    <t>1453</t>
  </si>
  <si>
    <t>OKDEQ</t>
  </si>
  <si>
    <t>420110031</t>
  </si>
  <si>
    <t>0310157</t>
  </si>
  <si>
    <t>FLDEP</t>
  </si>
  <si>
    <t>NCDAQ</t>
  </si>
  <si>
    <t>1576050694</t>
  </si>
  <si>
    <t>00037</t>
  </si>
  <si>
    <t>0513100274</t>
  </si>
  <si>
    <t>8065</t>
  </si>
  <si>
    <t>00710</t>
  </si>
  <si>
    <t>MSC_HD</t>
  </si>
  <si>
    <t>1576222001</t>
  </si>
  <si>
    <t>1576222002</t>
  </si>
  <si>
    <t>EIS Facility Name</t>
  </si>
  <si>
    <t>EIS Company Name</t>
  </si>
  <si>
    <t>Na</t>
  </si>
  <si>
    <t>Nucor-Yamato Steel Corporation</t>
  </si>
  <si>
    <t>Arkansas Steel Associates, LLC</t>
  </si>
  <si>
    <t>Nucor Corporation</t>
  </si>
  <si>
    <t>SUNOCO PARTNERS MKT &amp; TERM LP</t>
  </si>
  <si>
    <t>AK STEEL CORP</t>
  </si>
  <si>
    <t>LATROBE STEEL CO D/B/A LATROBE SPECIALTY STEEL CO</t>
  </si>
  <si>
    <t>GO CARLSON INC</t>
  </si>
  <si>
    <t>NUCOR CORP</t>
  </si>
  <si>
    <t>ELLWOOD NATL FORGE CO</t>
  </si>
  <si>
    <t>ALLEGHENY LUDLUM CORP</t>
  </si>
  <si>
    <t>NORTH AMER HOGANAS INC</t>
  </si>
  <si>
    <t>ARCELORMITTAL VINTON INC</t>
  </si>
  <si>
    <t>PRAXIS CO LLC</t>
  </si>
  <si>
    <t>STD STEEL LLC</t>
  </si>
  <si>
    <t>LE TOURNEAU TECHNOLOGIES INC</t>
  </si>
  <si>
    <t>AI002343</t>
  </si>
  <si>
    <t>JEWEL ACQUISITION LLC</t>
  </si>
  <si>
    <t>Mingo junction</t>
  </si>
  <si>
    <t>SHEFFIELD STEEL</t>
  </si>
  <si>
    <t>EXIDE TECH</t>
  </si>
  <si>
    <t>Quanex Corporation</t>
  </si>
  <si>
    <t xml:space="preserve"> </t>
  </si>
  <si>
    <t xml:space="preserve">RECENT TEST DATA MUCH GREATER THAN SLT EMISSIONS.  </t>
  </si>
  <si>
    <t>EPA RULE DATA</t>
  </si>
  <si>
    <t>Lawrence</t>
  </si>
  <si>
    <t>Morgan</t>
  </si>
  <si>
    <t>Shelby</t>
  </si>
  <si>
    <t>Fulton</t>
  </si>
  <si>
    <t>Howard</t>
  </si>
  <si>
    <t>Sebastian</t>
  </si>
  <si>
    <t>Lake</t>
  </si>
  <si>
    <t>San Bernardino</t>
  </si>
  <si>
    <t>El Paso</t>
  </si>
  <si>
    <t>Pueblo</t>
  </si>
  <si>
    <t>Cook</t>
  </si>
  <si>
    <t>Warren</t>
  </si>
  <si>
    <t>Gallatin</t>
  </si>
  <si>
    <t>Knox</t>
  </si>
  <si>
    <t>Whiteside</t>
  </si>
  <si>
    <t>Allen</t>
  </si>
  <si>
    <t>De Kalb</t>
  </si>
  <si>
    <t>Porter</t>
  </si>
  <si>
    <t>Sumner</t>
  </si>
  <si>
    <t>Boyd</t>
  </si>
  <si>
    <t>Somerset</t>
  </si>
  <si>
    <t>Ramsey</t>
  </si>
  <si>
    <t>Rankin</t>
  </si>
  <si>
    <t>Cayuga</t>
  </si>
  <si>
    <t>Onondaga</t>
  </si>
  <si>
    <t>Beaver</t>
  </si>
  <si>
    <t>Tulsa</t>
  </si>
  <si>
    <t>Yamhill</t>
  </si>
  <si>
    <t>Berks</t>
  </si>
  <si>
    <t>Mifflin</t>
  </si>
  <si>
    <t>Venango</t>
  </si>
  <si>
    <t>Georgetown</t>
  </si>
  <si>
    <t>Gregg</t>
  </si>
  <si>
    <t>King</t>
  </si>
  <si>
    <t>Box Elder</t>
  </si>
  <si>
    <t>Dinwiddie</t>
  </si>
  <si>
    <t>Roanoke city</t>
  </si>
  <si>
    <t>EIS county</t>
  </si>
  <si>
    <t>FIPS</t>
  </si>
  <si>
    <t>State</t>
  </si>
  <si>
    <t xml:space="preserve">Program System Code </t>
  </si>
  <si>
    <t>Agency Identifier</t>
  </si>
  <si>
    <t>CATEGORY</t>
  </si>
  <si>
    <t>Electric Arc Furnaces</t>
  </si>
  <si>
    <t>NATA Hg (lbs)</t>
  </si>
  <si>
    <t>R|2002, S|2005</t>
  </si>
  <si>
    <t xml:space="preserve">EPA RULE DATA </t>
  </si>
  <si>
    <t>no data - on EPA RULE DATA list</t>
  </si>
  <si>
    <t>EIS-SLT 2008 Hg (lbs)</t>
  </si>
  <si>
    <t xml:space="preserve">No SLT data </t>
  </si>
  <si>
    <t>no Hg emissions in NATA, NEI or TRI, but appears to have EAF-related process descriptions.  Is there an EAF and if so, can KY estimate the emissions?</t>
  </si>
  <si>
    <t>BOI-AUG|2005, T|2005</t>
  </si>
  <si>
    <t>R|2002, T|2005</t>
  </si>
  <si>
    <t>BOI-AUG|2005, R|2002</t>
  </si>
  <si>
    <t>no data but on EPA RULE  list</t>
  </si>
  <si>
    <t>TRI 2008 Hg  (lbs)</t>
  </si>
  <si>
    <t>EPA Rule (test data) Hg (lbs)</t>
  </si>
  <si>
    <t>EPA Rule Test data facility ID (excel file containing test data)</t>
  </si>
  <si>
    <t>AKS-Butler-PA (see 2nd TAB-major sources)</t>
  </si>
  <si>
    <t>Steel Dynamics-Butler-IN</t>
  </si>
  <si>
    <t>Allegheny-Brackenridge-PA</t>
  </si>
  <si>
    <t>AKSteel-Mansfield-OH</t>
  </si>
  <si>
    <t>Steel Dynamics-ColumbiaCity-IN</t>
  </si>
  <si>
    <t>Steel Dynamics-Pittsboro-IN</t>
  </si>
  <si>
    <t>Timken-Faircrest-OH</t>
  </si>
  <si>
    <t>Timken-Harrison-OH</t>
  </si>
  <si>
    <t>Nucor-Jewett-TX</t>
  </si>
  <si>
    <t>Nucor-Darlington-SC</t>
  </si>
  <si>
    <t>Nucor-Huger-SC</t>
  </si>
  <si>
    <t>Nucor-Norfolk-NE</t>
  </si>
  <si>
    <t>Nucor-Plymouth-UT</t>
  </si>
  <si>
    <t>Nucor-Crawfordsville-IN (see 2nd TAB, major sources)</t>
  </si>
  <si>
    <t>Nucor-Cofield-NC</t>
  </si>
  <si>
    <t>Nucor-Blytheville-AR</t>
  </si>
  <si>
    <t>SLT agree/disagree</t>
  </si>
  <si>
    <t>SLT comment</t>
  </si>
  <si>
    <t>No TRI nor State data</t>
  </si>
  <si>
    <t xml:space="preserve">SLT submitted Hg data. &gt;200% difference between EIS and TRI.  Request state review mercury value.  Are units (lbs) correct for mercury?  State Hg a lot lower in 2008 compared to 2005 than other pollutants reported for this process. </t>
  </si>
  <si>
    <t>No SLT data; only TRI and EPA rule data.</t>
  </si>
  <si>
    <t>TRI data, but no SLT data</t>
  </si>
  <si>
    <t>TRI data exceeds EPA Rule Data -- use EPA Rule data</t>
  </si>
  <si>
    <t>SLT submitted Hg data, but it appears low- maybe only counting for combustion. No TRI data.  Does this facility have EAFs?</t>
  </si>
  <si>
    <t>Have only 2008 TRI data available</t>
  </si>
  <si>
    <t>TRI 2008</t>
  </si>
  <si>
    <t>Gerdau-Jackson-TN</t>
  </si>
  <si>
    <t>EPA Rule data (based on emission testing)  takes precedence over TRI</t>
  </si>
  <si>
    <t>Use TRI data for the EAF processes</t>
  </si>
  <si>
    <t>No SLT or TRI Hg data.  Not clear whether this facility has EAFs.  Request state to comment -- current option is to use NATA emissions.</t>
  </si>
  <si>
    <t>EPA rule data is slightly higher than State data</t>
  </si>
  <si>
    <t>EPA Recommended Data for 2008 EIS, EAFs</t>
  </si>
  <si>
    <t>SLT submitted Hg data but not for EAF process. Therefore can use EPA rule data for EAFs.  State data will still be used for non EAF processes at facility.</t>
  </si>
  <si>
    <t>No TRI or state data but there is rule data.</t>
  </si>
  <si>
    <t>This facility has processes with EAF SCCS.  Should there be Hg from EAF SCCs?  Is there an EAF and if so, can PA estimate the emissions?</t>
  </si>
  <si>
    <t>SLT submitted Hg data which is higher than the EPA rule test data</t>
  </si>
  <si>
    <t>No SLT data reported for the EAF.  Use EPA rule data</t>
  </si>
  <si>
    <t>EIS emissions used TRI (not state data) so replace with EPA Rule data</t>
  </si>
  <si>
    <t>No EIS or TRI Hg data. This facility has no emissions submitted by SLT.  Is this facility operating?  Request state confirm that there are either no EAFs or we will use NATA2005</t>
  </si>
  <si>
    <t>No SLT data.  Use EPA Rule data</t>
  </si>
  <si>
    <t>No SLT data, use TRI</t>
  </si>
  <si>
    <t xml:space="preserve">EPA rule data  Hg is higher than SLT data.  </t>
  </si>
  <si>
    <t>There are EAF SCC(s) of 30300904.  No SLT reported Hg.  Gapfill using TRI</t>
  </si>
  <si>
    <t>No SLT data, use EPA RULE DATA</t>
  </si>
  <si>
    <t>no Hg emissions in NATA, NEI or TRI.  Can state provide data?</t>
  </si>
  <si>
    <t>No SLT data, use TRI DATA</t>
  </si>
  <si>
    <t>Have TRI and EPA Rule data; use EPA Rule data</t>
  </si>
  <si>
    <t>No SLT nor TRI data.  Use EPA Rule data</t>
  </si>
  <si>
    <t>TRI data, but no NATA or EIS data.  Agency reports emissions for other pollutants at unit described as EAF but did not report not Hg.</t>
  </si>
  <si>
    <t>Agency Unit ID for the SLT value or EPA Recommended Gapfill Value (add lines for multiple units)</t>
  </si>
  <si>
    <t>Agency Process ID  for the the SLT value or EPA Recommended Gapfill Value (add lines for multiple processes)</t>
  </si>
  <si>
    <t xml:space="preserve">RECENT EPA RULE TEST DATA MUCH GREATER THAN SLT EMISSIONS.  </t>
  </si>
  <si>
    <t>EPA Questions/Comments</t>
  </si>
  <si>
    <t>SLT  updated Hg emissions value for EAF process(es)</t>
  </si>
  <si>
    <t>Gerdau-Beaumont-TX</t>
  </si>
  <si>
    <t>No EIS or TRI Hg data but there is an EAF. Question:  Could SLT provide emissions or do we use NATA data?</t>
  </si>
  <si>
    <t>No state  or TRI Hg data available.  Don't have any options for gapfilling but there appears to be EAFs.  Question:  Could SLT provide emissions/information or do we use NATA data?</t>
  </si>
  <si>
    <t>No state  or TRI Hg data available.  Don't have any options for gapfilling but there appears to be EAFs.   Question:  Could SLT provide emissions/information or do we use NATA data?</t>
  </si>
  <si>
    <t>No state  or TRI Hg data available.  But facility appears to have EAFs.   Question:  Could SLT provide emissions/information or do we use NATA data?</t>
  </si>
  <si>
    <t>SLT submitted Hg data but not for EAF process. No TRI data.     Question:  Could SLT provide emissions/information or do we use NATA data?</t>
  </si>
  <si>
    <t>No EIS or TRI Hg data but there is an EAF.   Question:  Could SLT provide emissions/information or do we use NATA data?</t>
  </si>
  <si>
    <t>SLT submitted Hg data but not for EAFs but rather for other processes. No TRI data.   Question:  Could SLT provide emissions/information or do we use NATA data?</t>
  </si>
  <si>
    <t>SLT submitted Hg data but not for EAFs but rather for other processes. No TRI data.    Question:  Could SLT provide emissions/information or do we use NATA data?</t>
  </si>
  <si>
    <t>No EIS or TRI Hg data EAF scc = 30300904     Question:  Could SLT provide emissions/information or do we use NATA data?</t>
  </si>
  <si>
    <t xml:space="preserve">NATA  </t>
  </si>
  <si>
    <t>No EIS or TRI Hg data but various EAF SCCs.    Question:  Could SLT provide emissions/information or do we use NATA data?</t>
  </si>
  <si>
    <t>No EIS or TRI Hg data but EAF SCC of 30300904.    Question:  Could SLT provide emissions/information or do we use NATA data?</t>
  </si>
  <si>
    <t>No TRI or SLT data even though there is SCC of 30300904 in the facility.    Question:  Could SLT provide emissions/information or do we use NATA data?</t>
  </si>
  <si>
    <t>No TRI or other data for Hg available, even though there are SCCs of 30300906 in the facility inventory.     Question:  Could SLT provide emissions/information or do we use NATA data?</t>
  </si>
  <si>
    <t>No EIS or TRI Hg data but EAF SCC of 30300904.     Question:  Could SLT provide emissions/information or do we use NATA data?</t>
  </si>
  <si>
    <t xml:space="preserve">no EPA rule data but on EPA RULE list </t>
  </si>
  <si>
    <t>Have TRI and EPA rule data; Use EPA rule data</t>
  </si>
  <si>
    <t>Facility reported two TRI records (one using the "mercury and compounds" and the "mercury" pollutant codes)  for mercury. Will use sum of the two values.</t>
  </si>
  <si>
    <t>SLT submitted Hg data and it is significantly larger than NATA and TRI.  Please review.</t>
  </si>
  <si>
    <t xml:space="preserve">SLT submitted Hg data but not for EAFs at the facility.  State reporting only from process heaters and nat gas fired boiler.  Keep those emissions and add emissions for the EAF from TRI.   There is an EAF with emissions of CAPS and many  metal HAPs but not Hg.  And this process probably should have Hg.  Process id = 100180314  (state id=2) unit id = 72377713 (state id = 001)
</t>
  </si>
  <si>
    <t>No TRI but there are EAF SCCS.   Question:  Could SLT provide emissions/information or do we use NATA data?</t>
  </si>
  <si>
    <t>SLT submitted Hg data. &gt;200% difference between EIS and TRI.  State reported large Hg from EAF and calc method is site specific emission factor.  Please explain difference.  Is TRI an overestimate?</t>
  </si>
  <si>
    <t>SLT submitted Hg data for a solvent evap process (0 tons) so there is no SLT data.   Use EPA rule data and assign to unit=8557013  and process =21280714.  Also request that the SCC for the EAF change from 3999999 to an EAF SCC</t>
  </si>
  <si>
    <t>SLT submitted Hg data. &gt;200% difference between EIS and TRI.  Not sure why state lower. SLT reported under EAF SCC.  2005 used combination of state data and 2002 rule data.</t>
  </si>
  <si>
    <t>No EIS or TRI Hg data. EAF scc = 30401007.   Question:  Could SLT provide emissions/information or do we use NATA data?</t>
  </si>
  <si>
    <t>No EIS or TRI Hg data. Are there EAFs at this facility? Request state confirm that there are either no EAFs or EPA  will use NATA2005 emissions.</t>
  </si>
  <si>
    <t>No SLT data; only TRI.</t>
  </si>
  <si>
    <t xml:space="preserve">State reporting only from process heaters and nat gas fired boiler.  There is an EAF with emissions of CAPS and many  metal HAPs but not Hg.  Expect that  this process  should have Hg.  Process id = 86323214 (state id=01) AND 86323314 (02) under unit id = 60251613   
 (state id = 0045)
</t>
  </si>
  <si>
    <t xml:space="preserve">State reporting only from process heaters and nat gas fired boiler.  There are two EAF processes with emissions of CAPS and many  metal HAPs but not Hg.  1) EAFs.  Process id = 28371714    (state id=30300904) unit id = 6963513 (state id = EU0025) 2) Fugitive from roof monitor:  unit id= 6963313 (EU0024)  process id= 28371914   (state id = 30300904)
</t>
  </si>
  <si>
    <t>EPA rule data is higher than the data NC is submitting for Nucor (based on the staging table EPA reviewed) which is one of the missing NC facilities in 2008v1  so EPA will preferentially select EPA rule data</t>
  </si>
  <si>
    <t>NATA data source(s):  T=TRI, S=State, L=Local, R&amp;P is EPA data from previous rule work, N=carried forward, BOI-AUG is EPA data from boiler augmentation</t>
  </si>
  <si>
    <t>Disagree</t>
  </si>
  <si>
    <t>Agree, use 2008 TRI</t>
  </si>
  <si>
    <t>2008 operating rate was 126.2581 tons/hr and 5158 hr/yr.</t>
  </si>
  <si>
    <t>Used generated emission factor of 7.37e-5 lb/ton from Sterling and Keystone data.  2008 operating rate was 12.7848 tons/hr and 7200 hr/yr</t>
  </si>
  <si>
    <t>basis</t>
  </si>
  <si>
    <t>EPA process (EIS ID)</t>
  </si>
  <si>
    <t>From ILEPA:  Used generated emission factor of 7.37e-5 lb/ton from Sterling and Keystone TRI data.  2008 operating rate was 12.7848 tons/hr and 7200 hr/yr.  1 process with SCC=30400701</t>
  </si>
  <si>
    <t>date</t>
  </si>
  <si>
    <t>From ILEPA:  Used generated emission factor of 7.37e-5 lb/ton from Sterling and Keystone TRI data.  2008 operating rate was 80.86/hr and 4836 hr/yr. 2 processes with SCC=30300908, assign to the one with nonzero emissions</t>
  </si>
  <si>
    <t>SLT revised SLT emissions in gateway (slightly lower)</t>
  </si>
  <si>
    <t>Y</t>
  </si>
  <si>
    <t>Hg data has not been reported to permitting authority.</t>
  </si>
  <si>
    <t>EAF test data - SPPD representing 2009 throughput.  Assigned to the one process with SCC 30300908</t>
  </si>
  <si>
    <t>data submitted to EIS</t>
  </si>
  <si>
    <t>followup with SLT</t>
  </si>
  <si>
    <t>This permit may provide a number that NY can use to find facility.  Has very high TRI emissions for chromium, so need t o alert Carlow this may be high risk.  http://www.dec.ny.gov/dardata/boss/afs/permits/731320000700021.pdf</t>
  </si>
  <si>
    <t>AGREE</t>
  </si>
  <si>
    <r>
      <t xml:space="preserve">IDNR contacted the facility to confirm the mercury compound emissions from the EAF.  The facility acknowledged that leaving the mercury compound emissions out of the inventory was an oversight.  The mercury compound emissions included in their 2008 TRI report was estimated using the actual throughput (1,278,849 tons of steel) and the emission factor (0.000072 lbs/ton).  The emission factor was obtained from Table 4-5 of an EPA document titled "Emergency Planning and Community Right-To-Know Act - Section 313: </t>
    </r>
    <r>
      <rPr>
        <i/>
        <sz val="11"/>
        <color theme="1"/>
        <rFont val="Calibri"/>
        <family val="2"/>
        <scheme val="minor"/>
      </rPr>
      <t>Guidance for Reporting Toxic Chemicals: Mercury and Mercury Compounds Category."</t>
    </r>
  </si>
  <si>
    <t>N</t>
  </si>
  <si>
    <t>No EAFs, only natural gas combustion.  Use AP-42 Table 1.4-4, 0.00026 lb/mmcf</t>
  </si>
  <si>
    <t>No local test data or emission factor available</t>
  </si>
  <si>
    <t>SLT emissions in lb</t>
  </si>
  <si>
    <t>no EAF</t>
  </si>
  <si>
    <t>only 1 EAF scc and it is this process</t>
  </si>
  <si>
    <t>Agree</t>
  </si>
  <si>
    <t>verified with facility</t>
  </si>
  <si>
    <t>TRI</t>
  </si>
  <si>
    <t>62278314</t>
  </si>
  <si>
    <t>SLT</t>
  </si>
  <si>
    <t>EPARULE</t>
  </si>
  <si>
    <t>only 1 process described as EAF</t>
  </si>
  <si>
    <t>only 1 process  with EAF SCC</t>
  </si>
  <si>
    <t>NONE</t>
  </si>
  <si>
    <t>ILEPA submitted via gateway</t>
  </si>
  <si>
    <t>2008 operating rate was 254.86 tons/hr and 2344 hr/yr.</t>
  </si>
  <si>
    <t xml:space="preserve">from Strum:  TRI 2008, 1 EAF process, SCC=30300908 </t>
  </si>
  <si>
    <t>from Strum:  TRI 2008, 2 EAF process, SCC=30300904, assign to the one with nonzero criteria emissions</t>
  </si>
  <si>
    <t>agree</t>
  </si>
  <si>
    <t>SLT staff contacted facility, and facility staff verified that 2008 TRI estimate is a good number and includes point emissions and fugitives from the facility</t>
  </si>
  <si>
    <t xml:space="preserve">1) EAFs.  unit id = 6963513 (state id = EU0025) 2) Fugitive from roof monitor:  unit id= 6963313 (EU0024)  </t>
  </si>
  <si>
    <t>1) EAFs.  Process id = 28371714    (state id=30300904) 2) Fugitive from roof monitor:  process id= 28371914   (state id = 30300904)</t>
  </si>
  <si>
    <t>fugitive TRI for roof monitor, stack TRI for EAF</t>
  </si>
  <si>
    <t>TRI 2008 - assigned to the only EAF SCC at the facility</t>
  </si>
  <si>
    <t>Notes for Pechan</t>
  </si>
  <si>
    <t>use this process for the other TRI HAPs at this facility</t>
  </si>
  <si>
    <t>EPA Rule Data is in line with most recent permit (V-08-022R1, issued 2010), which included Hg emissions.  There are 2 EAFs at this facility.</t>
  </si>
  <si>
    <t>N/A</t>
  </si>
  <si>
    <t>"057", "105"</t>
  </si>
  <si>
    <t>"1"</t>
  </si>
  <si>
    <t>Per KYDAQ permit V-08-027 R2, there are 2 EAFs at this facility.  Lacking any additional information, KYDAQ used the 2008 annual thruput reported and the AP-42 emission factor.</t>
  </si>
  <si>
    <t>12.56 lbs Hg</t>
  </si>
  <si>
    <t>"020"</t>
  </si>
  <si>
    <t>Per KYDAQ permit V-08-027 R2, there is 1(one) EAF at this facility.  Lacking any additional information, KYDAQ used the 2008 annual thruput reported and the AP-42 emission factor.</t>
  </si>
  <si>
    <t>171.1 lbs Hg</t>
  </si>
  <si>
    <t>"0E1"</t>
  </si>
  <si>
    <t>EPA rule data apportioned to EAF process based on EAF process IDs provided by state and  distribution of PM-10 fil for those processes</t>
  </si>
  <si>
    <t>EPA rule data - tested emissions  along with 2009 throughput,  apportioned to EAF process based on EAF process IDs provided by state and  distribution of PM-10 fil for those processes</t>
  </si>
  <si>
    <t>Yes and sate reported emissions on 10/11/2011</t>
  </si>
  <si>
    <t>Emissions consistent with values reported by facility on 2007-12-20. NB these were reported as unspeciated mercury compounds.</t>
  </si>
  <si>
    <t>Nick Page submitted it 10/13</t>
  </si>
  <si>
    <t>9/28/2011 updated 10/13/2011</t>
  </si>
  <si>
    <t>comment for EIS</t>
  </si>
  <si>
    <t>gapfill dataset for EIS</t>
  </si>
  <si>
    <t>EPA apportionment factor (multiply facility emissions by this number)</t>
  </si>
  <si>
    <t>Method Calculation Code</t>
  </si>
  <si>
    <t>EPA NataReview (lbs)</t>
  </si>
  <si>
    <t xml:space="preserve">Disagree - wrong TRI source and value - see comment. Use TRI or EST </t>
  </si>
  <si>
    <r>
      <rPr>
        <b/>
        <sz val="11"/>
        <color theme="1"/>
        <rFont val="Calibri"/>
        <family val="2"/>
        <scheme val="minor"/>
      </rPr>
      <t xml:space="preserve">2008 TRI AIR EMISSIONS = Should be 50 LBS (the amount shown in column M is for the Indiana Harbor coke plant NOT the ArcelorMittal iron and steel plant).  EIS facility name should be ArcelorMittal USA.  and Agency ID# 00316.  </t>
    </r>
    <r>
      <rPr>
        <sz val="11"/>
        <color theme="1"/>
        <rFont val="Calibri"/>
        <family val="2"/>
        <scheme val="minor"/>
      </rPr>
      <t>Estimate is 22 LBS using state EF and 2008 FPRT.</t>
    </r>
  </si>
  <si>
    <t>22 LBS</t>
  </si>
  <si>
    <t>170</t>
  </si>
  <si>
    <t>03</t>
  </si>
  <si>
    <t>EIS facility ID</t>
  </si>
  <si>
    <t>1733111</t>
  </si>
  <si>
    <t>7913311</t>
  </si>
  <si>
    <t>IDEM provided</t>
  </si>
  <si>
    <t xml:space="preserve">Disagree </t>
  </si>
  <si>
    <t xml:space="preserve">No EAF.  </t>
  </si>
  <si>
    <t>0 LBS</t>
  </si>
  <si>
    <t>3986511</t>
  </si>
  <si>
    <t xml:space="preserve">Not a scrap metal melting EAF. </t>
  </si>
  <si>
    <t>005</t>
  </si>
  <si>
    <t>01</t>
  </si>
  <si>
    <t>120 LBS</t>
  </si>
  <si>
    <t>Scrap metal EAF so mercury expected but NATA data old - new estimate uses state EF and 2008 FPRT.</t>
  </si>
  <si>
    <t>40 LBS</t>
  </si>
  <si>
    <t>003</t>
  </si>
  <si>
    <t>EST or EPA RULE DATA</t>
  </si>
  <si>
    <t>001</t>
  </si>
  <si>
    <t>TRI, RO or EPA RULE DATA</t>
  </si>
  <si>
    <t>114 LBS</t>
  </si>
  <si>
    <t>46 LBS                     40 LBS</t>
  </si>
  <si>
    <t>001                               01A</t>
  </si>
  <si>
    <t>01                                            01</t>
  </si>
  <si>
    <t>email 10/3/2011 to see if David Lyon agrees with my process assignment - replied 10/11/2001:  yes</t>
  </si>
  <si>
    <t>see SLT comments</t>
  </si>
  <si>
    <t>South Carolina agrees with using the 2010 ICR data (0.00033 lb Hg/ton) and 2008 production rate (662,087 tons steel).</t>
  </si>
  <si>
    <t>218.49 lb
(0.109 tons)</t>
  </si>
  <si>
    <t>South Carolina agrees with using the 2010 ICR data (0.00032 lb Hg/ton) and 2008 production rate (934,710.1 tons steel).</t>
  </si>
  <si>
    <t>299 lb
(0.150 tons)</t>
  </si>
  <si>
    <t>South Carolina agrees with using the 2010 ICR data (0.00015 lb Hg/ton) and 2008 production rate (2,898,369 tons steel).  All Hg emissions were placed at the melt shop baghouse as the ICR data was a combined result for 2 baghouses (melt shop and canopy).  While the "original" state data was based on a 2009 stack test, use of the ICR data is preferred to maintain consistent methodology across all EAFs.</t>
  </si>
  <si>
    <t>434.76 lb
(0.217 tons)</t>
  </si>
  <si>
    <t>Since the ICR data includes the canopy baghouse, remove state emissions from this process.  See comment above for further details..</t>
  </si>
  <si>
    <t>0 lb</t>
  </si>
  <si>
    <t>none reported</t>
  </si>
  <si>
    <t>disagree</t>
  </si>
  <si>
    <t>Emission factor for Hg is based on site-specific stack test which NC believes is more representative of this process.</t>
  </si>
  <si>
    <t>01=138.53, 03=0.46, 20=0.27</t>
  </si>
  <si>
    <t>G-66, ES04, G-67</t>
  </si>
  <si>
    <t>01,03,20</t>
  </si>
  <si>
    <t>45801714</t>
  </si>
  <si>
    <t>Communicated with facility and all agree that that is a valid number</t>
  </si>
  <si>
    <t>GG01</t>
  </si>
  <si>
    <t>EPA EAF  ICR data based on 2010 emissions testing and recorded steel production rates, resulting EF applied to 2009 steel production (Donna Lee Jones, EPA/OAQPS/SPPD)</t>
  </si>
  <si>
    <t>Estimate based on 2010 stack test and 2008  (Fuel Process Rate (Throughput))FPRT.</t>
  </si>
  <si>
    <t>Estimate based on 2007 stack test and 2008  Fuel Process Rate (Throughput)-- FPRT.</t>
  </si>
  <si>
    <t xml:space="preserve">Facility Voluntarily Reported 86 LBS Hg from 2 EAFS in 2007 to IDEM.  </t>
  </si>
  <si>
    <t>Estimate based on state EF and 2008 FPRT.</t>
  </si>
  <si>
    <t>Verified; no Hg emissions were submitted to PA in 2008.  Please use EPA recommended NATA data.</t>
  </si>
  <si>
    <t>Emissions based on 2010 testing done by Nucor Steel; Hg EF: 0.000283 lbs/ton of steel.  [equation: 2008 thruput of 1,108,960 tons of steel * 0.000283 lbs/ton of steel = 313.45 lbs Mercury.]  Nucor Steel was a participant in the 2010 EPA study to determine mercury emissions from steel plants.</t>
  </si>
  <si>
    <t>EMAIL:  10/19/2011We agree EPA's emission factor. But the steel production for 2008 based on our record were 452,839 Tons. Therefore, the emissions were 104.18 lb for 2008. I already made changes in the 2008 NEI. Please let me know if you have questions.</t>
  </si>
  <si>
    <t>disagreed</t>
  </si>
  <si>
    <t>Use Same EPA EF but update process rate for 2008</t>
  </si>
  <si>
    <t>EU008: Melt Shop: EAF</t>
  </si>
  <si>
    <t>30400701-Tons Metal Processed</t>
  </si>
  <si>
    <t>(per phone conversation 10/10/2011) -- since EPA has updated information, it can be used.  Also  Dave Brown provided  an updated SCC for this process for EPA to batch submit into EIS</t>
  </si>
  <si>
    <t>1 EAF at facility</t>
  </si>
  <si>
    <t>DID STATE REPORT IN EIS????</t>
  </si>
  <si>
    <t xml:space="preserve">YES - process 92590114  </t>
  </si>
  <si>
    <t>NO</t>
  </si>
  <si>
    <t>Note:  get 120 lbs =482610*0.00025 if we use avge EF approach.  May want to rethink using TRI</t>
  </si>
  <si>
    <t xml:space="preserve">YES </t>
  </si>
  <si>
    <t>Note:  get 607  lbs =2426780*0.00025 if use avge emission factor</t>
  </si>
  <si>
    <t>Note:  get 83  lbs ==333457*0.00025 if use avge ef</t>
  </si>
  <si>
    <t>YES</t>
  </si>
  <si>
    <t>EIS id for this record was incorrect per state comments and it is fixed in column AC</t>
  </si>
  <si>
    <t>Facility is in process of revising their Hg emissions; no data is availble to date. Please use EPA  recommended EPA Rule Data.</t>
  </si>
  <si>
    <t>based on 2010 testing as part of EPA EAF ICR and PA-supplied 2008 throughput; Hg EF: 0.000225 lbs/ton of steel; apportioned to processes by PA data on thoughput (tons steel) for each of 3 EAFS</t>
  </si>
  <si>
    <t>4350411</t>
  </si>
  <si>
    <t>since state adjusted throughput I have asked them to submit.  (they gave a tentative data of oct 21 --- see email from oct 18 chad wilibanks</t>
  </si>
  <si>
    <t>based on 2010 testing as part of EPA EAF ICR and PA-supplied 2008 throughput; Hg EF: 0.000023lbs/ton of steel; apportioned to only EAF process at facility</t>
  </si>
  <si>
    <t>Verified; no Hg emissions were submitted to PA in 2008.  EPA may calculate emissions from the following data: 2008 throughput for Electric Furnace 101 was 83,126.0 tons steel.  Source 102 was deactivated in 1995.</t>
  </si>
  <si>
    <t>Verified; no Hg emissions were submitted to PA in 2008.  Please use EPA recommended EPA Rule Data.</t>
  </si>
  <si>
    <t>Verified; no Hg emissions were submitted to PA in 2008.  Please use EPA recommended TRI data.</t>
  </si>
  <si>
    <t>state updated value in gateway 9/18</t>
  </si>
  <si>
    <t xml:space="preserve">INDEP used facility-specific EPA EAF  ICR data based on 2010 emissions testing and recorded steel production rates, resulting EF applied to 2008 steel production </t>
  </si>
  <si>
    <t>PS-1</t>
  </si>
  <si>
    <t>P-1</t>
  </si>
  <si>
    <t>PS-2</t>
  </si>
  <si>
    <t xml:space="preserve">PS-3 </t>
  </si>
  <si>
    <t>PS-4</t>
  </si>
  <si>
    <t>provided by OR for EAF:0.00007 lbsHg/ton EF; and 684491.4 tons metal throughput</t>
  </si>
  <si>
    <t>provided by OR for EU-2 Melt Shop Dust Handling 0.00000158lbs/ton and 13970.56 tons dust</t>
  </si>
  <si>
    <t>provided by OR for EU-3 Melt Shop Roof &amp; Other Openings 0.000000236lbs/ton metal and 684491.4 tons metal</t>
  </si>
  <si>
    <t>provided by OR for  Reheat Furnace 1 (NG sources)  0.00000026 lbs/MMBTU and 344115.8 MMBtu</t>
  </si>
  <si>
    <t>provided by OR for  Reheat Furnace 2 (NG sources)  0.00000026 lbs/MMBTU and 595309.19 MMBtu</t>
  </si>
  <si>
    <t>when we discussed coke ovens it was agreed to use NATA as is</t>
  </si>
  <si>
    <t>NATA</t>
  </si>
  <si>
    <t xml:space="preserve">Gary Fishman read and interpreted EPA test reports from 2010 testing and developed Hg emissions for the various EAF and AOD processes and fugitives based on the Efs and also based on other pollutant fugitive to stack ratios.   </t>
  </si>
  <si>
    <t>n</t>
  </si>
  <si>
    <t>Gary used EPA test data for other EAFs to compute Hg from the EAFs at this facility</t>
  </si>
  <si>
    <t xml:space="preserve">Disagree. </t>
  </si>
  <si>
    <t>NYDEC is providing emissions amount.</t>
  </si>
  <si>
    <t>Jason recomputed emissions using 2.8e-4 lbs/ton per phone call on 10/21/2011 and I emailed Ed Wright to enter it as AL data</t>
  </si>
  <si>
    <t>61635214</t>
  </si>
  <si>
    <t>??</t>
  </si>
  <si>
    <t>2009 EPA Rule data and reported 2008 emissions are similar.  Recommend using either the TCEQ 2008 emissions or 2008 TRI.</t>
  </si>
  <si>
    <t xml:space="preserve">EPA EAF  ICR data based on 2010 emissions testing and recorded steel production rates, resulting EF applied to 2009 steel production (Donna Lee Jones, EPA/OAQPS/SPPD)-apportioned to the 2  EAF SCCs  based on Pb </t>
  </si>
  <si>
    <t>adjust for 2008 throughput.  397,000 tons in 2008 (sum across P002 and P003) and 254,814 tons in 2009 (EAF test data)</t>
  </si>
  <si>
    <t>Tom Velalis phone conversation 10/24/2011</t>
  </si>
  <si>
    <t>EPA EAF  ICR data based on 2010 emissions testing and recorded steel production rates, resulting EF applied to OH-supplied production for 2008</t>
  </si>
  <si>
    <t>Agree - per phone call of 10/24/2011</t>
  </si>
  <si>
    <t>100843714  </t>
  </si>
  <si>
    <t>101096714</t>
  </si>
  <si>
    <t>101098714</t>
  </si>
  <si>
    <t xml:space="preserve">computed 128 lbs using overall avge EF of 2.48e-4 lb/ton </t>
  </si>
  <si>
    <t>Updated SLT emissions using average EAF area factor of 0.00024 lb/Ton Steel Produced</t>
  </si>
  <si>
    <t>1001311</t>
  </si>
  <si>
    <t>email sent 10/21 by Lisa Cole:  For Nucor Tuscaloosa and Nucor Decatur, please use the EIS-SLT values</t>
  </si>
  <si>
    <t xml:space="preserve">Angela Pitcock  called 10/25/2011.  </t>
  </si>
  <si>
    <t>agree with either way. Can use EF.</t>
  </si>
  <si>
    <t xml:space="preserve">Nucor Steel Memphis participates in EPA's NVMSRP which, coupled with the direct shell baghouse control (about 99%), results in 3.4 pounds of Hg emissions exhaust and 0.03 pounds fugitive.  </t>
  </si>
  <si>
    <t>No</t>
  </si>
  <si>
    <t>MB-1.1</t>
  </si>
  <si>
    <t>116970414</t>
  </si>
  <si>
    <t>EPA_OTHER</t>
  </si>
  <si>
    <t>36102618931</t>
  </si>
  <si>
    <t>used avge emission factor from EPA testing for EAFs of 2.48 E-4 multiplied by throughput for process (182734 tons); apportioned to all processes with EAF SCC based on PM10-fil</t>
  </si>
  <si>
    <t>WAITING FOR THROUGHPUT</t>
  </si>
  <si>
    <t>Used EPA EAF 2010 testing program avge EF of  2.48e-4 lbs/ton steel and 2008 throughput provided by PA; apportioned to the one process with EAF SCC</t>
  </si>
  <si>
    <t>2008 TRI, assigned to 1 process with EAF SCC</t>
  </si>
  <si>
    <t xml:space="preserve"> per Addam Bullock Email to MSTRUM 10/27/2011:  Also, for the Seguin mill the company claims the 2010 testing is not representative of the 2008 operations.  The 2008 emissions were based on the best data available at that time.  So for this site I would recommend using the TRI emissions.
</t>
  </si>
  <si>
    <t>Since the ICR data includes the canopy baghouse, remove state emissions from this process.</t>
  </si>
  <si>
    <t>100180314  </t>
  </si>
  <si>
    <t>process is only EAF SCC with non zero emissions of other polls</t>
  </si>
  <si>
    <t>pulled the 2008 production data for the 2 mills below.  Using the 0.00025 factor the calcualted emissions are not much different then the NATA data.  So for these 2 I would say it's your choise as to which to use.  They are both acceptable to me</t>
  </si>
  <si>
    <t>Used EPA EAF 2010 testing program avge EF of  2.48e-4 lbs/ton steel and 2008 throughput provided by PA; apportioned via process specific throughputs provided by PA</t>
  </si>
  <si>
    <t>Used EPA EAF 2010 testing program avge EF of  2.48e-4 lbs/ton steel and 2008 throughput provided by TX; apportioned to processes w/SCC 30400701 based on Pb</t>
  </si>
  <si>
    <t>Used EPA EAF 2010 testing program avge EF of  2.48e-4 lbs/ton steel and 2008 throughput provided by TX; apportioned to processes w/SCC 30300904 based on Pb</t>
  </si>
  <si>
    <t>voicemail message -- they are ok with TRI</t>
  </si>
  <si>
    <t>from Strum:  TRI 2008, 2 EAF process, SCC=30300904, zero criteria emissions</t>
  </si>
  <si>
    <t>Used EPA EAF 2010 testing program avge EF of  2.48e-4 lbs/ton steel and 2008 throughput provided by PA; assigned to only process w/SCC 30300904</t>
  </si>
  <si>
    <t>Used EPA EAF 2010 testing program avge EF of  2.48e-4 lbs/ton steel and 2008 throughput provided by PA; assigned to only 2008-emitting process w/SCC 30300904</t>
  </si>
  <si>
    <t>OHIO put it in the system:  EPA EAF  ICR data based on 2010 emissions testing and recorded steel production rates, resulting EF applied to OH-supplied production for 2008</t>
  </si>
  <si>
    <t>Gerdau Ameristeel US Inc. Charlotte Steel Mill Div</t>
  </si>
  <si>
    <t>37119</t>
  </si>
  <si>
    <t>Mechlenberg</t>
  </si>
  <si>
    <t>NCMCAQ</t>
  </si>
  <si>
    <t>0567</t>
  </si>
  <si>
    <t>Charlotte</t>
  </si>
  <si>
    <t>Gerdau-Charlotte-NC</t>
  </si>
  <si>
    <t>this was inadvertantly left out of the spreadsheet and added 10/28/2011.  email sent to Meck county week of 10/24 and Jason Rayfield has not gotten backyet</t>
  </si>
  <si>
    <t>The 2008 mercury EIS entry for Gerdau-Charlotte was based on a previous site-specific test event.  We will not change that number based on the 2010 test.</t>
  </si>
  <si>
    <t>8048711</t>
  </si>
  <si>
    <t>NATA2005 carried forward; assigned to electric arc furnace process based on SCC</t>
  </si>
  <si>
    <t>I think state used a state avge EAF emission factor for this facility  33.8 lbs total</t>
  </si>
  <si>
    <t>state didn't know.  Used SLT value</t>
  </si>
  <si>
    <t>POLLUTANT</t>
  </si>
  <si>
    <t>since state adjusted throughput I have asked them to submit.  (they gave a tentative data of oct 21 --- see email from oct 18 chad wilibanks.  They submittd but not exaclty value in this sheet (276 instead of 299)</t>
  </si>
  <si>
    <t>NATA2005 carried forward; no program system code - NY cannot provide any info on this facility; is ok with pulling forward the NATA value which is based on 2002 Residual Risk data</t>
  </si>
  <si>
    <t>EIS Facility ID -donot use</t>
  </si>
  <si>
    <t>2008TRI; assigned to only process with EAF SCC</t>
  </si>
  <si>
    <t>EPA EAF  ICR data based on 2010 emissions testing and recorded steel production rates, resulting EF applied to 2009 steel production (Donna Lee Jones, EPA/OAQPS/SPPD).   Apportioned to EAF processes based on Pb</t>
  </si>
  <si>
    <t>2008TRI; assigned to the only EAF SCC at the facility</t>
  </si>
  <si>
    <t>2008TRI; assigned to processes with EAF SCC based on PM-FIL</t>
  </si>
  <si>
    <t>2008TRI, 2 EAF process, SCC=30300904, assign all TRI Hg to the one with nonzero criteria emissions</t>
  </si>
  <si>
    <t>2008TRI, 2 EAF process, SCC=30300904, this one has zero criteria emissions</t>
  </si>
  <si>
    <t>2008TRI;assigned to processes with EAF SCCs based on state-reported Pb emissions</t>
  </si>
  <si>
    <t>2008TRI; assigned to processes with EAF SCCs based on state-reported Pb emissions</t>
  </si>
  <si>
    <t>2008TRI; assigned fugitive TRI for roof monitor, stack TRI for EAF</t>
  </si>
  <si>
    <t>2008TRI; assigned to processes with EAF SCCs based on state-reported PM10-FIL emissions</t>
  </si>
  <si>
    <t>2008TRI;  assigned to processes with EAF SCCs based on state-reported Pb emissions</t>
  </si>
  <si>
    <t>2008TRI;  assigned to processes with EAF SCCs based on state-reported PM10-FIL emissions</t>
  </si>
  <si>
    <t>2008TRI; apportioned to the process recommended by Shelby</t>
  </si>
  <si>
    <t>INDEM-computed for EAF based on state EF and 2008 Fuel Process Rate (FPRT) (Throughput).</t>
  </si>
  <si>
    <t>used avge emission factor from EPA testing for EAFs of 2.48 E-4 multiplied by throughput for process (182734 tons); apportioned to all processes with EAF SCC based on PM10-FIL</t>
  </si>
  <si>
    <t>Used EPA EAF 2010 testing program avge EF of 2.48e-4 lbs/ton steel and 2008 throughput provided by PA; apportioned based on single process provided by PA (Unit 101A)</t>
  </si>
  <si>
    <t>EPA 2010 EAF testing program avge EF of 2.48e-4 lbs/ton steel and 2008 throughput provided by PA</t>
  </si>
  <si>
    <t>Used EPA EAF 2010 testing program avge EF of 2.48e-4 lbs/ton steel and 2008 throughput provided by PA</t>
  </si>
  <si>
    <t>Used EPA EAF 2010 testing program avge EF of 2.48e-4 lbs/ton steel and 2008 throughput provided by PA; apportioned to the one operating unit per PA</t>
  </si>
  <si>
    <t>length</t>
  </si>
  <si>
    <t>EPA EAF  ICR data based on 2010 emissions testing and recorded steel production rates, resulting EF applied to 2009 steel production (Donna Lee Jones, EPA/OAQPS/SPPD).   Apportioned based on EAF process IDs provided by state and PM10-FIL</t>
  </si>
  <si>
    <t>34023</t>
  </si>
  <si>
    <t>NJ</t>
  </si>
  <si>
    <t>Middlesex</t>
  </si>
  <si>
    <t>NJDEP</t>
  </si>
  <si>
    <t>Gerdau Ameristeel Sayreville</t>
  </si>
  <si>
    <t>SAYREVILLE</t>
  </si>
  <si>
    <t>Gerdau-Sayrreville-NJ</t>
  </si>
  <si>
    <t>this was not sent to NJ.  Part of rule data from 10-19-11 spreadsheet from Donna Lee Jones</t>
  </si>
  <si>
    <t>11/15/2011 phone conversation Danny wong.  He is ok using EPA data</t>
  </si>
  <si>
    <t xml:space="preserve"> EVRAZ CLAYMONT STEEL</t>
  </si>
  <si>
    <t>DE</t>
  </si>
  <si>
    <t>10003</t>
  </si>
  <si>
    <t>New Castle</t>
  </si>
  <si>
    <t>DEDNR</t>
  </si>
  <si>
    <t>CLAYMONT</t>
  </si>
  <si>
    <t>4001 PHILADELPHIA PIKE</t>
  </si>
  <si>
    <t>11/15/2011 email exchange with Outten</t>
  </si>
  <si>
    <t>EAF Hg computed from an EF of 3.9E-4 lbs/ton steel from state compliance testing - provided by OAQPS/SPPD as part of the EAF rule development, and a 2008 throughput of 417916 tons provided by Delaware</t>
  </si>
  <si>
    <t>Evraz-Claymone-DE</t>
  </si>
  <si>
    <t xml:space="preserve">EAF EF of 3.9E-4lb/ton steel from compliance source tests obtained from the state agency that were performed since June 2008 and collected for OAQPS/SPPD EAF rule development.  Used 2009 Total capacity from AIST directory of 490,000 tons steel.   </t>
  </si>
  <si>
    <t>EPA EAF  ICR data based on 2010 emissions testing and recorded steel production rates, resulting EF applied to 2009 steel production (Donna Lee Jones, EPA/OAQPS/SPPD); assigned to processes based on Agency-reported EAF Hg emissions</t>
  </si>
  <si>
    <t>EPA EAF  ICR data based on 2010 emissions testing and recorded steel production rates, resulting EF applied to 2009 steel production (Donna Lee Jones, EPA/OAQPS/SPPD).  Assigned to process SC chose for their EAF Hg emissions.</t>
  </si>
  <si>
    <t>f11/15/2011-- it appears that there was rule data for this facility:  Gerdau-Wilton-IA that I didn't tell Iowa about.</t>
  </si>
  <si>
    <t>70-03-003</t>
  </si>
  <si>
    <t>GERDAU AMERISTEEL US, INC</t>
  </si>
  <si>
    <t xml:space="preserve">Gerdau-Wilton-IA </t>
  </si>
  <si>
    <t>not sent to state for their review</t>
  </si>
  <si>
    <t>EPA EAF  ICR data based on 2010 emissions testing and recorded steel production rates, resulting EF applied to 2009 steel production (Donna Lee Jones, EPA/OAQPS/SPPD), assigned to EAF processes based on state-reported Hg</t>
  </si>
  <si>
    <t>EPA EAF ICR data based on 2010 emissions testing and recorded steel production rates, resulting EF applied to 2009 steel production (Donna Lee Jones, EPA/OAQPS/SPPD)-apportioned to processes with SCC=30400701 based on PM2.5</t>
  </si>
  <si>
    <t>(blank)</t>
  </si>
  <si>
    <t>Grand Total</t>
  </si>
  <si>
    <t>Sum of EPA apportionment factor (multiply facility emissions by this number)</t>
  </si>
  <si>
    <t>Total</t>
  </si>
  <si>
    <t>EAF Hg reported by NJ as facil total is 44.99lbs --in order to avoid dble counting with EAF processHg emissions of 61 lbs based on compliance test EF, the EPA_OTHER  value for the facility-total (at the FCO unit) Hg must be zero.</t>
  </si>
  <si>
    <t>2008TRI--TCEQ chose TRI -- contacted Seguin mill and the company claims the 2010 testing is not representative of the 2008 operations.  TCEQ chose TRI data over their submission.  Apportioned to processes with SCC=30400701 based on PM2.5</t>
  </si>
  <si>
    <t>2010 EAF test&amp;2008 thruput from UT- Nucor participatd in 2010 EPA study to determine Hg emissions from steel plants. Hg EF: 0.000283 lbs/ton of steel.  eqn: 2008 thrput of 1,108,960 tons steel*0.000283 lbs/ton of steel = 313.45 lbs Hg</t>
  </si>
  <si>
    <t xml:space="preserve">EAF EF of 1.0E-4lb/ton steel from compliance source tests obtned from the state agency that were prfrmd since June 2008 &amp; collected byOAQPS/SPPD EAF rule developers.  Used 2009 Total capacity from AIST directory -750,000 tons steel.   </t>
  </si>
  <si>
    <t>EAF Hg reported by state as facility total is 44.99lbs -- to avoid dble counting with EAF process-level Hg emissions of 61 lbs based on compliance test EF, the EPA_OTHER  value for the facility-total (at the FCO unit) Hg must be zero.</t>
  </si>
  <si>
    <t xml:space="preserve">EAF EF of 1.0E-4 lbs Hg/ton steel from compliance source test perfrmed since 2008 obtained from state agency for EAF rule development and provided by EPA/SPPD Donna Lee Jones. 2008 Thruput of 610,000 tons  from NJ.  </t>
  </si>
  <si>
    <t xml:space="preserve">TRI 2008, based on PM from EAF processes, SCC=30300908 </t>
  </si>
  <si>
    <t xml:space="preserve"> =0.000000236*684491.4</t>
  </si>
  <si>
    <t>100842614</t>
  </si>
  <si>
    <t>100843614</t>
  </si>
</sst>
</file>

<file path=xl/styles.xml><?xml version="1.0" encoding="utf-8"?>
<styleSheet xmlns="http://schemas.openxmlformats.org/spreadsheetml/2006/main">
  <numFmts count="6">
    <numFmt numFmtId="43" formatCode="_(* #,##0.00_);_(* \(#,##0.00\);_(* &quot;-&quot;??_);_(@_)"/>
    <numFmt numFmtId="164" formatCode="0.0%"/>
    <numFmt numFmtId="165" formatCode="0.0"/>
    <numFmt numFmtId="166" formatCode="000000000"/>
    <numFmt numFmtId="167" formatCode="0.0000"/>
    <numFmt numFmtId="168" formatCode="_(* #,##0_);_(* \(#,##0\);_(* &quot;-&quot;??_);_(@_)"/>
  </numFmts>
  <fonts count="58">
    <font>
      <sz val="11"/>
      <color theme="1"/>
      <name val="Arial Narrow"/>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indexed="8"/>
      <name val="Arial"/>
      <family val="2"/>
    </font>
    <font>
      <sz val="11"/>
      <color indexed="8"/>
      <name val="Calibri"/>
      <family val="2"/>
    </font>
    <font>
      <sz val="11"/>
      <color indexed="8"/>
      <name val="Calibri"/>
      <family val="2"/>
      <scheme val="minor"/>
    </font>
    <font>
      <sz val="11"/>
      <color theme="1"/>
      <name val="Calibri"/>
      <family val="2"/>
      <scheme val="minor"/>
    </font>
    <font>
      <b/>
      <sz val="11"/>
      <color theme="1"/>
      <name val="Calibri"/>
      <family val="2"/>
      <scheme val="minor"/>
    </font>
    <font>
      <sz val="11"/>
      <color theme="1"/>
      <name val="Arial Narrow"/>
      <family val="2"/>
    </font>
    <font>
      <sz val="10"/>
      <color indexed="8"/>
      <name val="Arial"/>
      <family val="2"/>
    </font>
    <font>
      <sz val="10"/>
      <name val="Arial"/>
      <family val="2"/>
    </font>
    <font>
      <sz val="11"/>
      <name val="Calibri"/>
      <family val="2"/>
      <scheme val="minor"/>
    </font>
    <font>
      <sz val="11"/>
      <color rgb="FF000000"/>
      <name val="Calibri"/>
      <family val="2"/>
    </font>
    <font>
      <i/>
      <sz val="11"/>
      <color theme="1"/>
      <name val="Calibri"/>
      <family val="2"/>
      <scheme val="minor"/>
    </font>
    <font>
      <sz val="11"/>
      <color rgb="FF17365D"/>
      <name val="Calibri"/>
      <family val="2"/>
    </font>
    <font>
      <sz val="11"/>
      <color rgb="FFFF0000"/>
      <name val="Calibri"/>
      <family val="2"/>
      <scheme val="minor"/>
    </font>
    <font>
      <u/>
      <sz val="11"/>
      <color theme="10"/>
      <name val="Arial Narrow"/>
      <family val="2"/>
    </font>
    <font>
      <sz val="11"/>
      <name val="Arial Narrow"/>
      <family val="2"/>
    </font>
    <font>
      <sz val="8"/>
      <name val="Calibri"/>
      <family val="2"/>
    </font>
    <font>
      <sz val="12"/>
      <color theme="1"/>
      <name val="Calibri"/>
      <family val="2"/>
    </font>
    <font>
      <sz val="11"/>
      <color theme="1"/>
      <name val="Times New Roman"/>
      <family val="2"/>
    </font>
    <font>
      <sz val="10"/>
      <color theme="1"/>
      <name val="Tahoma"/>
      <family val="2"/>
    </font>
    <font>
      <sz val="10"/>
      <color theme="1"/>
      <name val="Arial"/>
      <family val="2"/>
    </font>
    <font>
      <sz val="11"/>
      <color rgb="FF1F497D"/>
      <name val="Calibri"/>
      <family val="2"/>
    </font>
    <font>
      <sz val="12"/>
      <color rgb="FF1F497D"/>
      <name val="Times New Roman"/>
      <family val="1"/>
    </font>
  </fonts>
  <fills count="9">
    <fill>
      <patternFill patternType="none"/>
    </fill>
    <fill>
      <patternFill patternType="gray125"/>
    </fill>
    <fill>
      <patternFill patternType="solid">
        <fgColor indexed="22"/>
        <bgColor indexed="0"/>
      </patternFill>
    </fill>
    <fill>
      <patternFill patternType="solid">
        <fgColor rgb="FFFFFF00"/>
        <bgColor indexed="64"/>
      </patternFill>
    </fill>
    <fill>
      <patternFill patternType="solid">
        <fgColor theme="5" tint="0.59999389629810485"/>
        <bgColor indexed="64"/>
      </patternFill>
    </fill>
    <fill>
      <patternFill patternType="solid">
        <fgColor theme="0" tint="-0.249977111117893"/>
        <bgColor indexed="0"/>
      </patternFill>
    </fill>
    <fill>
      <patternFill patternType="solid">
        <fgColor theme="0" tint="-0.249977111117893"/>
        <bgColor indexed="64"/>
      </patternFill>
    </fill>
    <fill>
      <patternFill patternType="solid">
        <fgColor rgb="FFFF0000"/>
        <bgColor indexed="64"/>
      </patternFill>
    </fill>
    <fill>
      <patternFill patternType="solid">
        <fgColor theme="0"/>
        <bgColor indexed="64"/>
      </patternFill>
    </fill>
  </fills>
  <borders count="10">
    <border>
      <left/>
      <right/>
      <top/>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bottom/>
      <diagonal/>
    </border>
    <border>
      <left style="thin">
        <color indexed="64"/>
      </left>
      <right style="thin">
        <color indexed="64"/>
      </right>
      <top style="thin">
        <color indexed="64"/>
      </top>
      <bottom style="thin">
        <color indexed="64"/>
      </bottom>
      <diagonal/>
    </border>
    <border>
      <left style="thin">
        <color indexed="22"/>
      </left>
      <right/>
      <top/>
      <bottom/>
      <diagonal/>
    </border>
    <border>
      <left style="thin">
        <color indexed="22"/>
      </left>
      <right style="thin">
        <color indexed="22"/>
      </right>
      <top/>
      <bottom style="thin">
        <color indexed="22"/>
      </bottom>
      <diagonal/>
    </border>
    <border>
      <left style="thin">
        <color indexed="22"/>
      </left>
      <right/>
      <top style="thin">
        <color indexed="22"/>
      </top>
      <bottom style="thin">
        <color indexed="22"/>
      </bottom>
      <diagonal/>
    </border>
    <border>
      <left/>
      <right style="thin">
        <color indexed="22"/>
      </right>
      <top style="thin">
        <color indexed="22"/>
      </top>
      <bottom style="thin">
        <color indexed="22"/>
      </bottom>
      <diagonal/>
    </border>
    <border>
      <left style="thin">
        <color indexed="22"/>
      </left>
      <right style="thin">
        <color indexed="22"/>
      </right>
      <top style="thin">
        <color indexed="22"/>
      </top>
      <bottom/>
      <diagonal/>
    </border>
  </borders>
  <cellStyleXfs count="29">
    <xf numFmtId="0" fontId="0" fillId="0" borderId="0"/>
    <xf numFmtId="0" fontId="36" fillId="0" borderId="0"/>
    <xf numFmtId="9" fontId="41" fillId="0" borderId="0" applyFont="0" applyFill="0" applyBorder="0" applyAlignment="0" applyProtection="0"/>
    <xf numFmtId="0" fontId="42" fillId="0" borderId="0"/>
    <xf numFmtId="0" fontId="43" fillId="0" borderId="0"/>
    <xf numFmtId="0" fontId="49" fillId="0" borderId="0" applyNumberFormat="0" applyFill="0" applyBorder="0" applyAlignment="0" applyProtection="0">
      <alignment vertical="top"/>
      <protection locked="0"/>
    </xf>
    <xf numFmtId="0" fontId="41" fillId="0" borderId="0"/>
    <xf numFmtId="0" fontId="43" fillId="0" borderId="0"/>
    <xf numFmtId="9" fontId="41" fillId="0" borderId="0" applyFont="0" applyFill="0" applyBorder="0" applyAlignment="0" applyProtection="0"/>
    <xf numFmtId="0" fontId="14" fillId="0" borderId="0"/>
    <xf numFmtId="43" fontId="14" fillId="0" borderId="0" applyFont="0" applyFill="0" applyBorder="0" applyAlignment="0" applyProtection="0"/>
    <xf numFmtId="43" fontId="37" fillId="0" borderId="0" applyFont="0" applyFill="0" applyBorder="0" applyAlignment="0" applyProtection="0"/>
    <xf numFmtId="43" fontId="14" fillId="0" borderId="0" applyFont="0" applyFill="0" applyBorder="0" applyAlignment="0" applyProtection="0"/>
    <xf numFmtId="43" fontId="52" fillId="0" borderId="0" applyFont="0" applyFill="0" applyBorder="0" applyAlignment="0" applyProtection="0"/>
    <xf numFmtId="0" fontId="43" fillId="0" borderId="0"/>
    <xf numFmtId="0" fontId="43" fillId="0" borderId="0"/>
    <xf numFmtId="0" fontId="52" fillId="0" borderId="0"/>
    <xf numFmtId="0" fontId="14" fillId="0" borderId="0"/>
    <xf numFmtId="0" fontId="43" fillId="0" borderId="0"/>
    <xf numFmtId="0" fontId="51" fillId="0" borderId="0"/>
    <xf numFmtId="0" fontId="53" fillId="0" borderId="0"/>
    <xf numFmtId="9" fontId="14" fillId="0" borderId="0" applyFont="0" applyFill="0" applyBorder="0" applyAlignment="0" applyProtection="0"/>
    <xf numFmtId="9" fontId="37" fillId="0" borderId="0" applyFont="0" applyFill="0" applyBorder="0" applyAlignment="0" applyProtection="0"/>
    <xf numFmtId="0" fontId="11" fillId="0" borderId="0"/>
    <xf numFmtId="43" fontId="41" fillId="0" borderId="0" applyFont="0" applyFill="0" applyBorder="0" applyAlignment="0" applyProtection="0"/>
    <xf numFmtId="0" fontId="6" fillId="0" borderId="0"/>
    <xf numFmtId="0" fontId="5" fillId="0" borderId="0"/>
    <xf numFmtId="0" fontId="36" fillId="0" borderId="0"/>
    <xf numFmtId="0" fontId="36" fillId="0" borderId="0"/>
  </cellStyleXfs>
  <cellXfs count="355">
    <xf numFmtId="0" fontId="0" fillId="0" borderId="0" xfId="0"/>
    <xf numFmtId="0" fontId="38" fillId="2" borderId="1" xfId="1" applyFont="1" applyFill="1" applyBorder="1" applyAlignment="1">
      <alignment horizontal="center"/>
    </xf>
    <xf numFmtId="0" fontId="39" fillId="0" borderId="0" xfId="0" applyFont="1"/>
    <xf numFmtId="0" fontId="38" fillId="0" borderId="2" xfId="1" applyFont="1" applyFill="1" applyBorder="1" applyAlignment="1"/>
    <xf numFmtId="0" fontId="38" fillId="0" borderId="2" xfId="1" applyNumberFormat="1" applyFont="1" applyFill="1" applyBorder="1" applyAlignment="1"/>
    <xf numFmtId="0" fontId="38" fillId="0" borderId="2" xfId="1" applyFont="1" applyFill="1" applyBorder="1" applyAlignment="1">
      <alignment horizontal="right"/>
    </xf>
    <xf numFmtId="0" fontId="38" fillId="0" borderId="3" xfId="1" applyFont="1" applyFill="1" applyBorder="1" applyAlignment="1"/>
    <xf numFmtId="0" fontId="38" fillId="0" borderId="5" xfId="1" applyFont="1" applyFill="1" applyBorder="1" applyAlignment="1"/>
    <xf numFmtId="0" fontId="38" fillId="0" borderId="0" xfId="1" applyFont="1" applyFill="1" applyBorder="1" applyAlignment="1"/>
    <xf numFmtId="0" fontId="39" fillId="0" borderId="0" xfId="0" applyNumberFormat="1" applyFont="1" applyAlignment="1"/>
    <xf numFmtId="0" fontId="38" fillId="0" borderId="2" xfId="1" quotePrefix="1" applyFont="1" applyFill="1" applyBorder="1" applyAlignment="1"/>
    <xf numFmtId="0" fontId="38" fillId="0" borderId="2" xfId="1" applyFont="1" applyFill="1" applyBorder="1" applyAlignment="1">
      <alignment wrapText="1"/>
    </xf>
    <xf numFmtId="0" fontId="35" fillId="0" borderId="0" xfId="0" applyFont="1" applyFill="1" applyAlignment="1">
      <alignment wrapText="1"/>
    </xf>
    <xf numFmtId="0" fontId="38" fillId="0" borderId="5" xfId="1" applyFont="1" applyFill="1" applyBorder="1" applyAlignment="1">
      <alignment wrapText="1"/>
    </xf>
    <xf numFmtId="0" fontId="38" fillId="0" borderId="3" xfId="1" applyFont="1" applyFill="1" applyBorder="1" applyAlignment="1">
      <alignment wrapText="1"/>
    </xf>
    <xf numFmtId="0" fontId="38" fillId="0" borderId="0" xfId="1" applyFont="1" applyFill="1" applyBorder="1" applyAlignment="1">
      <alignment wrapText="1"/>
    </xf>
    <xf numFmtId="0" fontId="39" fillId="0" borderId="0" xfId="0" applyFont="1" applyAlignment="1">
      <alignment wrapText="1"/>
    </xf>
    <xf numFmtId="0" fontId="38" fillId="0" borderId="0" xfId="1" applyFont="1" applyFill="1" applyAlignment="1"/>
    <xf numFmtId="0" fontId="39" fillId="0" borderId="0" xfId="0" applyFont="1" applyFill="1"/>
    <xf numFmtId="164" fontId="35" fillId="0" borderId="0" xfId="2" applyNumberFormat="1" applyFont="1" applyFill="1"/>
    <xf numFmtId="0" fontId="38" fillId="2" borderId="1" xfId="1" applyFont="1" applyFill="1" applyBorder="1" applyAlignment="1">
      <alignment horizontal="center" wrapText="1"/>
    </xf>
    <xf numFmtId="0" fontId="38" fillId="2" borderId="4" xfId="1" applyFont="1" applyFill="1" applyBorder="1" applyAlignment="1">
      <alignment horizontal="center" wrapText="1"/>
    </xf>
    <xf numFmtId="0" fontId="38" fillId="5" borderId="1" xfId="1" applyFont="1" applyFill="1" applyBorder="1" applyAlignment="1">
      <alignment horizontal="center" wrapText="1"/>
    </xf>
    <xf numFmtId="0" fontId="38" fillId="0" borderId="0" xfId="1" applyFont="1" applyFill="1" applyAlignment="1">
      <alignment horizontal="right"/>
    </xf>
    <xf numFmtId="0" fontId="38" fillId="0" borderId="0" xfId="1" applyFont="1" applyFill="1" applyBorder="1" applyAlignment="1">
      <alignment horizontal="right"/>
    </xf>
    <xf numFmtId="0" fontId="39" fillId="0" borderId="3" xfId="0" applyFont="1" applyFill="1" applyBorder="1"/>
    <xf numFmtId="0" fontId="38" fillId="0" borderId="0" xfId="1" applyNumberFormat="1" applyFont="1" applyFill="1" applyBorder="1" applyAlignment="1"/>
    <xf numFmtId="0" fontId="35" fillId="0" borderId="0" xfId="0" applyFont="1" applyFill="1" applyBorder="1"/>
    <xf numFmtId="0" fontId="39" fillId="0" borderId="0" xfId="0" applyFont="1" applyFill="1" applyBorder="1"/>
    <xf numFmtId="0" fontId="35" fillId="0" borderId="5" xfId="0" applyFont="1" applyFill="1" applyBorder="1" applyAlignment="1">
      <alignment wrapText="1"/>
    </xf>
    <xf numFmtId="164" fontId="35" fillId="0" borderId="0" xfId="2" applyNumberFormat="1" applyFont="1" applyFill="1" applyBorder="1"/>
    <xf numFmtId="0" fontId="35" fillId="0" borderId="0" xfId="0" applyFont="1" applyFill="1" applyBorder="1" applyAlignment="1">
      <alignment wrapText="1"/>
    </xf>
    <xf numFmtId="0" fontId="38" fillId="2" borderId="0" xfId="1" applyFont="1" applyFill="1" applyBorder="1" applyAlignment="1">
      <alignment horizontal="center" wrapText="1"/>
    </xf>
    <xf numFmtId="0" fontId="37" fillId="5" borderId="1" xfId="3" applyFont="1" applyFill="1" applyBorder="1" applyAlignment="1">
      <alignment horizontal="center" wrapText="1"/>
    </xf>
    <xf numFmtId="0" fontId="33" fillId="4" borderId="4" xfId="0" applyFont="1" applyFill="1" applyBorder="1" applyAlignment="1">
      <alignment wrapText="1"/>
    </xf>
    <xf numFmtId="0" fontId="38" fillId="0" borderId="2" xfId="1" applyFont="1" applyFill="1" applyBorder="1" applyAlignment="1">
      <alignment horizontal="left" vertical="center" wrapText="1"/>
    </xf>
    <xf numFmtId="0" fontId="39" fillId="0" borderId="0" xfId="0" applyFont="1" applyAlignment="1">
      <alignment horizontal="left" vertical="center" wrapText="1"/>
    </xf>
    <xf numFmtId="0" fontId="33" fillId="0" borderId="0" xfId="0" applyFont="1" applyFill="1"/>
    <xf numFmtId="0" fontId="33" fillId="0" borderId="5" xfId="0" applyFont="1" applyFill="1" applyBorder="1" applyAlignment="1">
      <alignment wrapText="1"/>
    </xf>
    <xf numFmtId="0" fontId="33" fillId="0" borderId="0" xfId="0" applyFont="1" applyFill="1" applyBorder="1"/>
    <xf numFmtId="0" fontId="33" fillId="0" borderId="3" xfId="0" applyFont="1" applyFill="1" applyBorder="1"/>
    <xf numFmtId="0" fontId="44" fillId="0" borderId="4" xfId="4" applyFont="1" applyFill="1" applyBorder="1" applyAlignment="1">
      <alignment horizontal="left"/>
    </xf>
    <xf numFmtId="0" fontId="38" fillId="0" borderId="6" xfId="1" applyFont="1" applyFill="1" applyBorder="1" applyAlignment="1"/>
    <xf numFmtId="0" fontId="38" fillId="0" borderId="6" xfId="1" applyNumberFormat="1" applyFont="1" applyFill="1" applyBorder="1" applyAlignment="1"/>
    <xf numFmtId="0" fontId="0" fillId="3" borderId="4" xfId="0" applyFill="1" applyBorder="1" applyAlignment="1">
      <alignment wrapText="1"/>
    </xf>
    <xf numFmtId="0" fontId="33" fillId="0" borderId="0" xfId="0" applyFont="1" applyFill="1" applyBorder="1" applyAlignment="1">
      <alignment wrapText="1"/>
    </xf>
    <xf numFmtId="0" fontId="33" fillId="0" borderId="0" xfId="0" applyFont="1" applyFill="1" applyAlignment="1">
      <alignment wrapText="1"/>
    </xf>
    <xf numFmtId="0" fontId="40" fillId="0" borderId="0" xfId="0" applyFont="1" applyFill="1"/>
    <xf numFmtId="0" fontId="40" fillId="0" borderId="0" xfId="0" applyFont="1" applyFill="1" applyBorder="1"/>
    <xf numFmtId="0" fontId="34" fillId="0" borderId="0" xfId="0" applyFont="1" applyFill="1"/>
    <xf numFmtId="0" fontId="34" fillId="0" borderId="0" xfId="0" applyFont="1" applyFill="1" applyBorder="1"/>
    <xf numFmtId="0" fontId="38" fillId="0" borderId="0" xfId="1" applyFont="1" applyFill="1" applyAlignment="1">
      <alignment horizontal="left" vertical="center" wrapText="1"/>
    </xf>
    <xf numFmtId="0" fontId="38" fillId="0" borderId="0" xfId="1" applyFont="1" applyFill="1" applyBorder="1" applyAlignment="1">
      <alignment horizontal="left" vertical="center" wrapText="1"/>
    </xf>
    <xf numFmtId="0" fontId="38" fillId="0" borderId="7" xfId="1" applyFont="1" applyFill="1" applyBorder="1" applyAlignment="1"/>
    <xf numFmtId="0" fontId="38" fillId="0" borderId="8" xfId="1" applyFont="1" applyFill="1" applyBorder="1" applyAlignment="1">
      <alignment horizontal="right" wrapText="1"/>
    </xf>
    <xf numFmtId="0" fontId="38" fillId="0" borderId="9" xfId="1" applyFont="1" applyFill="1" applyBorder="1" applyAlignment="1">
      <alignment horizontal="right"/>
    </xf>
    <xf numFmtId="0" fontId="38" fillId="0" borderId="6" xfId="1" applyFont="1" applyFill="1" applyBorder="1" applyAlignment="1">
      <alignment horizontal="right"/>
    </xf>
    <xf numFmtId="165" fontId="33" fillId="0" borderId="0" xfId="0" applyNumberFormat="1" applyFont="1" applyFill="1" applyBorder="1" applyAlignment="1">
      <alignment horizontal="center"/>
    </xf>
    <xf numFmtId="0" fontId="32" fillId="0" borderId="0" xfId="0" applyFont="1" applyFill="1"/>
    <xf numFmtId="0" fontId="32" fillId="0" borderId="0" xfId="0" applyFont="1" applyFill="1" applyAlignment="1">
      <alignment wrapText="1"/>
    </xf>
    <xf numFmtId="0" fontId="32" fillId="0" borderId="3" xfId="0" applyFont="1" applyFill="1" applyBorder="1" applyAlignment="1">
      <alignment wrapText="1"/>
    </xf>
    <xf numFmtId="0" fontId="38" fillId="0" borderId="7" xfId="1" applyFont="1" applyFill="1" applyBorder="1" applyAlignment="1">
      <alignment horizontal="right"/>
    </xf>
    <xf numFmtId="0" fontId="44" fillId="0" borderId="0" xfId="4" applyFont="1" applyFill="1" applyBorder="1" applyAlignment="1">
      <alignment horizontal="right" wrapText="1"/>
    </xf>
    <xf numFmtId="0" fontId="31" fillId="0" borderId="0" xfId="0" applyFont="1" applyFill="1" applyBorder="1" applyAlignment="1">
      <alignment wrapText="1"/>
    </xf>
    <xf numFmtId="0" fontId="31" fillId="0" borderId="0" xfId="0" applyFont="1" applyFill="1" applyAlignment="1">
      <alignment wrapText="1"/>
    </xf>
    <xf numFmtId="0" fontId="45" fillId="6" borderId="0" xfId="0" applyFont="1" applyFill="1" applyAlignment="1">
      <alignment wrapText="1"/>
    </xf>
    <xf numFmtId="0" fontId="30" fillId="0" borderId="0" xfId="0" applyFont="1" applyFill="1" applyBorder="1" applyAlignment="1">
      <alignment wrapText="1"/>
    </xf>
    <xf numFmtId="0" fontId="29" fillId="0" borderId="2" xfId="0" applyFont="1" applyFill="1" applyBorder="1"/>
    <xf numFmtId="164" fontId="29" fillId="0" borderId="0" xfId="2" applyNumberFormat="1" applyFont="1" applyFill="1"/>
    <xf numFmtId="0" fontId="28" fillId="0" borderId="0" xfId="0" applyFont="1" applyAlignment="1">
      <alignment wrapText="1"/>
    </xf>
    <xf numFmtId="0" fontId="28" fillId="0" borderId="0" xfId="0" applyFont="1" applyFill="1"/>
    <xf numFmtId="0" fontId="28" fillId="0" borderId="5" xfId="0" applyFont="1" applyFill="1" applyBorder="1" applyAlignment="1">
      <alignment wrapText="1"/>
    </xf>
    <xf numFmtId="0" fontId="0" fillId="4" borderId="0" xfId="0" applyFill="1" applyBorder="1" applyAlignment="1">
      <alignment wrapText="1"/>
    </xf>
    <xf numFmtId="0" fontId="28" fillId="4" borderId="0" xfId="0" applyFont="1" applyFill="1" applyAlignment="1">
      <alignment wrapText="1"/>
    </xf>
    <xf numFmtId="0" fontId="38" fillId="4" borderId="0" xfId="1" applyNumberFormat="1" applyFont="1" applyFill="1" applyBorder="1" applyAlignment="1"/>
    <xf numFmtId="0" fontId="39" fillId="4" borderId="0" xfId="0" applyFont="1" applyFill="1"/>
    <xf numFmtId="164" fontId="28" fillId="4" borderId="0" xfId="2" applyNumberFormat="1" applyFont="1" applyFill="1"/>
    <xf numFmtId="0" fontId="39" fillId="4" borderId="0" xfId="0" applyNumberFormat="1" applyFont="1" applyFill="1" applyAlignment="1"/>
    <xf numFmtId="14" fontId="39" fillId="0" borderId="0" xfId="0" applyNumberFormat="1" applyFont="1" applyFill="1"/>
    <xf numFmtId="0" fontId="27" fillId="0" borderId="0" xfId="0" applyFont="1" applyFill="1"/>
    <xf numFmtId="164" fontId="27" fillId="0" borderId="0" xfId="2" applyNumberFormat="1" applyFont="1" applyFill="1"/>
    <xf numFmtId="14" fontId="26" fillId="0" borderId="0" xfId="0" applyNumberFormat="1" applyFont="1" applyFill="1"/>
    <xf numFmtId="0" fontId="26" fillId="0" borderId="0" xfId="0" applyFont="1" applyFill="1"/>
    <xf numFmtId="0" fontId="25" fillId="0" borderId="0" xfId="0" applyFont="1" applyAlignment="1">
      <alignment wrapText="1"/>
    </xf>
    <xf numFmtId="0" fontId="25" fillId="0" borderId="0" xfId="0" applyFont="1" applyFill="1"/>
    <xf numFmtId="164" fontId="25" fillId="0" borderId="0" xfId="2" applyNumberFormat="1" applyFont="1" applyFill="1"/>
    <xf numFmtId="0" fontId="25" fillId="3" borderId="0" xfId="0" applyFont="1" applyFill="1"/>
    <xf numFmtId="164" fontId="25" fillId="3" borderId="0" xfId="2" applyNumberFormat="1" applyFont="1" applyFill="1"/>
    <xf numFmtId="0" fontId="38" fillId="3" borderId="2" xfId="1" applyFont="1" applyFill="1" applyBorder="1" applyAlignment="1"/>
    <xf numFmtId="166" fontId="38" fillId="3" borderId="2" xfId="1" applyNumberFormat="1" applyFont="1" applyFill="1" applyBorder="1" applyAlignment="1"/>
    <xf numFmtId="164" fontId="25" fillId="0" borderId="0" xfId="2" applyNumberFormat="1" applyFont="1" applyFill="1" applyAlignment="1">
      <alignment wrapText="1"/>
    </xf>
    <xf numFmtId="164" fontId="25" fillId="3" borderId="0" xfId="2" applyNumberFormat="1" applyFont="1" applyFill="1" applyAlignment="1">
      <alignment wrapText="1"/>
    </xf>
    <xf numFmtId="0" fontId="38" fillId="3" borderId="2" xfId="1" applyNumberFormat="1" applyFont="1" applyFill="1" applyBorder="1" applyAlignment="1"/>
    <xf numFmtId="0" fontId="38" fillId="3" borderId="0" xfId="1" applyNumberFormat="1" applyFont="1" applyFill="1" applyBorder="1" applyAlignment="1"/>
    <xf numFmtId="0" fontId="0" fillId="0" borderId="0" xfId="0" quotePrefix="1"/>
    <xf numFmtId="0" fontId="24" fillId="0" borderId="0" xfId="0" applyFont="1" applyFill="1"/>
    <xf numFmtId="164" fontId="24" fillId="0" borderId="0" xfId="2" applyNumberFormat="1" applyFont="1" applyFill="1"/>
    <xf numFmtId="0" fontId="37" fillId="0" borderId="0" xfId="1" applyFont="1" applyFill="1" applyBorder="1" applyAlignment="1">
      <alignment horizontal="right"/>
    </xf>
    <xf numFmtId="164" fontId="37" fillId="0" borderId="0" xfId="2" applyNumberFormat="1" applyFont="1" applyFill="1" applyAlignment="1">
      <alignment wrapText="1"/>
    </xf>
    <xf numFmtId="0" fontId="37" fillId="0" borderId="2" xfId="1" applyFont="1" applyFill="1" applyBorder="1" applyAlignment="1"/>
    <xf numFmtId="0" fontId="37" fillId="0" borderId="2" xfId="1" applyFont="1" applyFill="1" applyBorder="1" applyAlignment="1">
      <alignment wrapText="1"/>
    </xf>
    <xf numFmtId="0" fontId="37" fillId="0" borderId="2" xfId="1" applyNumberFormat="1" applyFont="1" applyFill="1" applyBorder="1" applyAlignment="1">
      <alignment wrapText="1"/>
    </xf>
    <xf numFmtId="0" fontId="23" fillId="0" borderId="0" xfId="0" applyFont="1" applyFill="1"/>
    <xf numFmtId="0" fontId="23" fillId="0" borderId="0" xfId="0" applyFont="1" applyAlignment="1">
      <alignment wrapText="1"/>
    </xf>
    <xf numFmtId="16" fontId="23" fillId="0" borderId="0" xfId="0" applyNumberFormat="1" applyFont="1" applyFill="1"/>
    <xf numFmtId="0" fontId="22" fillId="0" borderId="0" xfId="0" applyFont="1" applyFill="1"/>
    <xf numFmtId="164" fontId="22" fillId="0" borderId="0" xfId="2" applyNumberFormat="1" applyFont="1" applyFill="1"/>
    <xf numFmtId="0" fontId="21" fillId="0" borderId="0" xfId="0" applyFont="1" applyFill="1"/>
    <xf numFmtId="0" fontId="20" fillId="0" borderId="0" xfId="0" applyFont="1" applyFill="1"/>
    <xf numFmtId="164" fontId="20" fillId="0" borderId="0" xfId="2" applyNumberFormat="1" applyFont="1" applyFill="1"/>
    <xf numFmtId="0" fontId="19" fillId="0" borderId="0" xfId="0" applyFont="1" applyFill="1"/>
    <xf numFmtId="14" fontId="19" fillId="0" borderId="0" xfId="0" applyNumberFormat="1" applyFont="1" applyFill="1"/>
    <xf numFmtId="0" fontId="19" fillId="4" borderId="0" xfId="0" applyFont="1" applyFill="1" applyAlignment="1">
      <alignment wrapText="1"/>
    </xf>
    <xf numFmtId="0" fontId="28" fillId="0" borderId="0" xfId="0" applyFont="1" applyFill="1" applyAlignment="1">
      <alignment wrapText="1"/>
    </xf>
    <xf numFmtId="166" fontId="38" fillId="3" borderId="0" xfId="1" applyNumberFormat="1" applyFont="1" applyFill="1" applyBorder="1" applyAlignment="1"/>
    <xf numFmtId="0" fontId="37" fillId="0" borderId="0" xfId="1" applyNumberFormat="1" applyFont="1" applyFill="1" applyBorder="1" applyAlignment="1">
      <alignment wrapText="1"/>
    </xf>
    <xf numFmtId="0" fontId="38" fillId="0" borderId="2" xfId="1" applyFont="1" applyFill="1" applyBorder="1" applyAlignment="1">
      <alignment horizontal="right"/>
    </xf>
    <xf numFmtId="0" fontId="38" fillId="0" borderId="2" xfId="1" quotePrefix="1" applyFont="1" applyFill="1" applyBorder="1" applyAlignment="1"/>
    <xf numFmtId="0" fontId="19" fillId="0" borderId="0" xfId="0" applyFont="1" applyFill="1"/>
    <xf numFmtId="0" fontId="38" fillId="0" borderId="0" xfId="1" applyNumberFormat="1" applyFont="1" applyFill="1" applyBorder="1" applyAlignment="1"/>
    <xf numFmtId="0" fontId="38" fillId="0" borderId="2" xfId="1" quotePrefix="1" applyNumberFormat="1" applyFont="1" applyFill="1" applyBorder="1" applyAlignment="1">
      <alignment horizontal="right"/>
    </xf>
    <xf numFmtId="0" fontId="19" fillId="0" borderId="0" xfId="2" applyNumberFormat="1" applyFont="1" applyFill="1" applyAlignment="1">
      <alignment wrapText="1"/>
    </xf>
    <xf numFmtId="0" fontId="19" fillId="0" borderId="0" xfId="0" applyFont="1" applyFill="1" applyAlignment="1">
      <alignment horizontal="left" wrapText="1"/>
    </xf>
    <xf numFmtId="0" fontId="38" fillId="0" borderId="2" xfId="1" quotePrefix="1" applyFont="1" applyFill="1" applyBorder="1" applyAlignment="1">
      <alignment horizontal="right"/>
    </xf>
    <xf numFmtId="0" fontId="38" fillId="0" borderId="0" xfId="1" quotePrefix="1" applyNumberFormat="1" applyFont="1" applyFill="1" applyBorder="1" applyAlignment="1"/>
    <xf numFmtId="0" fontId="38" fillId="0" borderId="2" xfId="1" applyFont="1" applyFill="1" applyBorder="1" applyAlignment="1">
      <alignment horizontal="right"/>
    </xf>
    <xf numFmtId="0" fontId="38" fillId="0" borderId="0" xfId="1" applyNumberFormat="1" applyFont="1" applyFill="1" applyBorder="1" applyAlignment="1"/>
    <xf numFmtId="0" fontId="19" fillId="0" borderId="0" xfId="0" applyFont="1" applyFill="1" applyAlignment="1">
      <alignment horizontal="left" wrapText="1"/>
    </xf>
    <xf numFmtId="164" fontId="19" fillId="0" borderId="0" xfId="2" applyNumberFormat="1" applyFont="1" applyFill="1" applyAlignment="1">
      <alignment wrapText="1"/>
    </xf>
    <xf numFmtId="0" fontId="38" fillId="0" borderId="0" xfId="1" applyFont="1" applyFill="1" applyBorder="1" applyAlignment="1">
      <alignment horizontal="right" wrapText="1"/>
    </xf>
    <xf numFmtId="0" fontId="38" fillId="0" borderId="2" xfId="1" applyFont="1" applyFill="1" applyBorder="1" applyAlignment="1">
      <alignment horizontal="right"/>
    </xf>
    <xf numFmtId="0" fontId="38" fillId="0" borderId="0" xfId="1" applyNumberFormat="1" applyFont="1" applyFill="1" applyBorder="1" applyAlignment="1"/>
    <xf numFmtId="0" fontId="38" fillId="0" borderId="2" xfId="1" quotePrefix="1" applyNumberFormat="1" applyFont="1" applyFill="1" applyBorder="1" applyAlignment="1">
      <alignment horizontal="right"/>
    </xf>
    <xf numFmtId="0" fontId="19" fillId="0" borderId="0" xfId="0" applyFont="1" applyFill="1" applyAlignment="1">
      <alignment horizontal="left" wrapText="1"/>
    </xf>
    <xf numFmtId="0" fontId="38" fillId="0" borderId="2" xfId="1" quotePrefix="1" applyFont="1" applyFill="1" applyBorder="1" applyAlignment="1">
      <alignment horizontal="right"/>
    </xf>
    <xf numFmtId="164" fontId="19" fillId="0" borderId="0" xfId="2" applyNumberFormat="1" applyFont="1" applyFill="1" applyAlignment="1">
      <alignment wrapText="1"/>
    </xf>
    <xf numFmtId="0" fontId="38" fillId="0" borderId="2" xfId="1" applyFont="1" applyFill="1" applyBorder="1" applyAlignment="1">
      <alignment horizontal="right"/>
    </xf>
    <xf numFmtId="0" fontId="38" fillId="0" borderId="2" xfId="1" quotePrefix="1" applyNumberFormat="1" applyFont="1" applyFill="1" applyBorder="1" applyAlignment="1">
      <alignment horizontal="right"/>
    </xf>
    <xf numFmtId="0" fontId="19" fillId="0" borderId="0" xfId="0" applyFont="1" applyFill="1" applyAlignment="1">
      <alignment horizontal="left" wrapText="1"/>
    </xf>
    <xf numFmtId="0" fontId="38" fillId="0" borderId="2" xfId="1" quotePrefix="1" applyFont="1" applyFill="1" applyBorder="1" applyAlignment="1">
      <alignment horizontal="right"/>
    </xf>
    <xf numFmtId="164" fontId="19" fillId="0" borderId="0" xfId="2" applyNumberFormat="1" applyFont="1" applyFill="1" applyAlignment="1">
      <alignment wrapText="1"/>
    </xf>
    <xf numFmtId="0" fontId="38" fillId="0" borderId="2" xfId="1" applyFont="1" applyFill="1" applyBorder="1" applyAlignment="1">
      <alignment horizontal="right"/>
    </xf>
    <xf numFmtId="0" fontId="19" fillId="0" borderId="0" xfId="0" applyFont="1" applyFill="1"/>
    <xf numFmtId="0" fontId="38" fillId="0" borderId="0" xfId="1" applyNumberFormat="1" applyFont="1" applyFill="1" applyBorder="1" applyAlignment="1"/>
    <xf numFmtId="0" fontId="38" fillId="0" borderId="2" xfId="1" quotePrefix="1" applyNumberFormat="1" applyFont="1" applyFill="1" applyBorder="1" applyAlignment="1">
      <alignment horizontal="right"/>
    </xf>
    <xf numFmtId="0" fontId="38" fillId="0" borderId="2" xfId="1" quotePrefix="1" applyFont="1" applyFill="1" applyBorder="1" applyAlignment="1">
      <alignment horizontal="right"/>
    </xf>
    <xf numFmtId="0" fontId="38" fillId="0" borderId="0" xfId="1" applyFont="1" applyFill="1" applyBorder="1" applyAlignment="1">
      <alignment horizontal="left" wrapText="1"/>
    </xf>
    <xf numFmtId="0" fontId="38" fillId="0" borderId="0" xfId="1" applyFont="1" applyFill="1" applyBorder="1" applyAlignment="1">
      <alignment horizontal="left" wrapText="1"/>
    </xf>
    <xf numFmtId="0" fontId="38" fillId="0" borderId="0" xfId="1" applyFont="1" applyFill="1" applyBorder="1" applyAlignment="1">
      <alignment horizontal="left" wrapText="1"/>
    </xf>
    <xf numFmtId="0" fontId="38" fillId="0" borderId="0" xfId="1" applyFont="1" applyFill="1" applyBorder="1" applyAlignment="1">
      <alignment horizontal="left" wrapText="1"/>
    </xf>
    <xf numFmtId="0" fontId="38" fillId="0" borderId="2" xfId="1" applyFont="1" applyFill="1" applyBorder="1" applyAlignment="1">
      <alignment horizontal="right"/>
    </xf>
    <xf numFmtId="0" fontId="38" fillId="0" borderId="2" xfId="1" quotePrefix="1" applyNumberFormat="1" applyFont="1" applyFill="1" applyBorder="1" applyAlignment="1">
      <alignment horizontal="right"/>
    </xf>
    <xf numFmtId="0" fontId="38" fillId="0" borderId="2" xfId="1" quotePrefix="1" applyFont="1" applyFill="1" applyBorder="1" applyAlignment="1">
      <alignment horizontal="right"/>
    </xf>
    <xf numFmtId="0" fontId="38" fillId="0" borderId="2" xfId="1" applyFont="1" applyFill="1" applyBorder="1" applyAlignment="1">
      <alignment horizontal="right" wrapText="1"/>
    </xf>
    <xf numFmtId="0" fontId="38" fillId="0" borderId="2" xfId="1" quotePrefix="1" applyFont="1" applyFill="1" applyBorder="1" applyAlignment="1">
      <alignment horizontal="right" wrapText="1"/>
    </xf>
    <xf numFmtId="0" fontId="38" fillId="0" borderId="2" xfId="1" quotePrefix="1" applyNumberFormat="1" applyFont="1" applyFill="1" applyBorder="1" applyAlignment="1">
      <alignment horizontal="right" wrapText="1"/>
    </xf>
    <xf numFmtId="0" fontId="38" fillId="0" borderId="2" xfId="1" applyFont="1" applyFill="1" applyBorder="1" applyAlignment="1"/>
    <xf numFmtId="0" fontId="38" fillId="0" borderId="2" xfId="1" applyFont="1" applyFill="1" applyBorder="1" applyAlignment="1">
      <alignment horizontal="right"/>
    </xf>
    <xf numFmtId="0" fontId="38" fillId="0" borderId="2" xfId="1" applyFont="1" applyFill="1" applyBorder="1" applyAlignment="1">
      <alignment wrapText="1"/>
    </xf>
    <xf numFmtId="0" fontId="38" fillId="0" borderId="0" xfId="1" applyFont="1" applyFill="1" applyBorder="1" applyAlignment="1">
      <alignment horizontal="right"/>
    </xf>
    <xf numFmtId="0" fontId="38" fillId="0" borderId="0" xfId="1" applyNumberFormat="1" applyFont="1" applyFill="1" applyBorder="1" applyAlignment="1"/>
    <xf numFmtId="0" fontId="38" fillId="0" borderId="2" xfId="1" applyFont="1" applyFill="1" applyBorder="1" applyAlignment="1">
      <alignment horizontal="left" vertical="center" wrapText="1"/>
    </xf>
    <xf numFmtId="0" fontId="38" fillId="0" borderId="7" xfId="1" applyFont="1" applyFill="1" applyBorder="1" applyAlignment="1"/>
    <xf numFmtId="0" fontId="38" fillId="0" borderId="8" xfId="1" applyFont="1" applyFill="1" applyBorder="1" applyAlignment="1">
      <alignment horizontal="right" wrapText="1"/>
    </xf>
    <xf numFmtId="0" fontId="38" fillId="0" borderId="2" xfId="1" quotePrefix="1" applyNumberFormat="1" applyFont="1" applyFill="1" applyBorder="1" applyAlignment="1">
      <alignment horizontal="right"/>
    </xf>
    <xf numFmtId="0" fontId="38" fillId="0" borderId="2" xfId="1" quotePrefix="1" applyFont="1" applyFill="1" applyBorder="1" applyAlignment="1">
      <alignment horizontal="right"/>
    </xf>
    <xf numFmtId="0" fontId="38" fillId="0" borderId="2" xfId="1" quotePrefix="1" applyFont="1" applyFill="1" applyBorder="1" applyAlignment="1">
      <alignment horizontal="right" wrapText="1"/>
    </xf>
    <xf numFmtId="0" fontId="38" fillId="0" borderId="2" xfId="1" quotePrefix="1" applyNumberFormat="1" applyFont="1" applyFill="1" applyBorder="1" applyAlignment="1">
      <alignment horizontal="right" wrapText="1"/>
    </xf>
    <xf numFmtId="0" fontId="38" fillId="0" borderId="0" xfId="1" applyFont="1" applyFill="1" applyBorder="1" applyAlignment="1">
      <alignment horizontal="left" wrapText="1"/>
    </xf>
    <xf numFmtId="0" fontId="18" fillId="0" borderId="0" xfId="0" applyFont="1" applyFill="1"/>
    <xf numFmtId="0" fontId="18" fillId="3" borderId="0" xfId="0" applyFont="1" applyFill="1"/>
    <xf numFmtId="164" fontId="18" fillId="3" borderId="0" xfId="2" applyNumberFormat="1" applyFont="1" applyFill="1" applyAlignment="1">
      <alignment wrapText="1"/>
    </xf>
    <xf numFmtId="0" fontId="38" fillId="3" borderId="2" xfId="1" applyFont="1" applyFill="1" applyBorder="1" applyAlignment="1">
      <alignment wrapText="1"/>
    </xf>
    <xf numFmtId="0" fontId="38" fillId="3" borderId="2" xfId="1" quotePrefix="1" applyFont="1" applyFill="1" applyBorder="1" applyAlignment="1"/>
    <xf numFmtId="164" fontId="18" fillId="3" borderId="0" xfId="2" applyNumberFormat="1" applyFont="1" applyFill="1"/>
    <xf numFmtId="0" fontId="38" fillId="0" borderId="2" xfId="1" applyFont="1" applyFill="1" applyBorder="1" applyAlignment="1"/>
    <xf numFmtId="0" fontId="38" fillId="0" borderId="2" xfId="1" applyNumberFormat="1" applyFont="1" applyFill="1" applyBorder="1" applyAlignment="1"/>
    <xf numFmtId="0" fontId="38" fillId="0" borderId="2" xfId="1" applyFont="1" applyFill="1" applyBorder="1" applyAlignment="1">
      <alignment wrapText="1"/>
    </xf>
    <xf numFmtId="0" fontId="17" fillId="0" borderId="0" xfId="0" applyFont="1" applyFill="1"/>
    <xf numFmtId="0" fontId="16" fillId="0" borderId="0" xfId="0" applyFont="1" applyFill="1"/>
    <xf numFmtId="0" fontId="16" fillId="0" borderId="0" xfId="0" quotePrefix="1" applyFont="1" applyFill="1"/>
    <xf numFmtId="164" fontId="16" fillId="0" borderId="0" xfId="2" applyNumberFormat="1" applyFont="1" applyFill="1"/>
    <xf numFmtId="167" fontId="38" fillId="0" borderId="2" xfId="1" applyNumberFormat="1" applyFont="1" applyFill="1" applyBorder="1" applyAlignment="1">
      <alignment horizontal="right"/>
    </xf>
    <xf numFmtId="164" fontId="16" fillId="0" borderId="0" xfId="2" applyNumberFormat="1" applyFont="1" applyFill="1" applyAlignment="1">
      <alignment wrapText="1"/>
    </xf>
    <xf numFmtId="0" fontId="16" fillId="0" borderId="0" xfId="0" applyFont="1" applyFill="1" applyAlignment="1">
      <alignment horizontal="center"/>
    </xf>
    <xf numFmtId="164" fontId="16" fillId="0" borderId="0" xfId="2" applyNumberFormat="1" applyFont="1" applyFill="1" applyAlignment="1">
      <alignment horizontal="center" wrapText="1"/>
    </xf>
    <xf numFmtId="0" fontId="37" fillId="0" borderId="0" xfId="0" applyFont="1" applyFill="1" applyAlignment="1"/>
    <xf numFmtId="164" fontId="37" fillId="0" borderId="0" xfId="2" quotePrefix="1" applyNumberFormat="1" applyFont="1" applyFill="1" applyAlignment="1"/>
    <xf numFmtId="0" fontId="37" fillId="0" borderId="2" xfId="1" applyNumberFormat="1" applyFont="1" applyFill="1" applyBorder="1" applyAlignment="1"/>
    <xf numFmtId="0" fontId="47" fillId="0" borderId="0" xfId="0" applyFont="1"/>
    <xf numFmtId="164" fontId="35" fillId="0" borderId="0" xfId="2" applyNumberFormat="1" applyFont="1" applyFill="1" applyAlignment="1">
      <alignment wrapText="1"/>
    </xf>
    <xf numFmtId="0" fontId="15" fillId="0" borderId="0" xfId="0" applyFont="1" applyFill="1" applyAlignment="1">
      <alignment wrapText="1"/>
    </xf>
    <xf numFmtId="0" fontId="15" fillId="0" borderId="0" xfId="0" applyFont="1" applyFill="1"/>
    <xf numFmtId="0" fontId="39" fillId="0" borderId="0" xfId="0" applyFont="1" applyFill="1" applyAlignment="1">
      <alignment wrapText="1"/>
    </xf>
    <xf numFmtId="0" fontId="14" fillId="0" borderId="0" xfId="0" applyFont="1" applyFill="1"/>
    <xf numFmtId="164" fontId="14" fillId="0" borderId="0" xfId="2" applyNumberFormat="1" applyFont="1" applyFill="1" applyAlignment="1">
      <alignment wrapText="1"/>
    </xf>
    <xf numFmtId="11" fontId="0" fillId="0" borderId="0" xfId="0" applyNumberFormat="1"/>
    <xf numFmtId="14" fontId="50" fillId="0" borderId="0" xfId="5" applyNumberFormat="1" applyFont="1" applyAlignment="1" applyProtection="1"/>
    <xf numFmtId="0" fontId="14" fillId="0" borderId="0" xfId="0" applyNumberFormat="1" applyFont="1" applyFill="1"/>
    <xf numFmtId="164" fontId="14" fillId="0" borderId="0" xfId="2" applyNumberFormat="1" applyFont="1" applyFill="1" applyAlignment="1">
      <alignment horizontal="center" wrapText="1"/>
    </xf>
    <xf numFmtId="0" fontId="14" fillId="0" borderId="0" xfId="0" applyFont="1" applyFill="1" applyAlignment="1">
      <alignment horizontal="center"/>
    </xf>
    <xf numFmtId="164" fontId="14" fillId="0" borderId="0" xfId="2" applyNumberFormat="1" applyFont="1" applyFill="1" applyAlignment="1">
      <alignment horizontal="center" wrapText="1"/>
    </xf>
    <xf numFmtId="0" fontId="14" fillId="0" borderId="0" xfId="0" applyFont="1" applyFill="1" applyAlignment="1">
      <alignment horizontal="center"/>
    </xf>
    <xf numFmtId="0" fontId="38" fillId="0" borderId="2" xfId="1" applyFont="1" applyFill="1" applyBorder="1" applyAlignment="1"/>
    <xf numFmtId="0" fontId="38" fillId="0" borderId="2" xfId="1" applyNumberFormat="1" applyFont="1" applyFill="1" applyBorder="1" applyAlignment="1"/>
    <xf numFmtId="0" fontId="38" fillId="0" borderId="2" xfId="1" quotePrefix="1" applyFont="1" applyFill="1" applyBorder="1" applyAlignment="1"/>
    <xf numFmtId="0" fontId="38" fillId="0" borderId="2" xfId="1" applyFont="1" applyFill="1" applyBorder="1" applyAlignment="1">
      <alignment wrapText="1"/>
    </xf>
    <xf numFmtId="0" fontId="38" fillId="0" borderId="0" xfId="1" applyFont="1" applyFill="1" applyBorder="1" applyAlignment="1">
      <alignment wrapText="1"/>
    </xf>
    <xf numFmtId="0" fontId="14" fillId="0" borderId="0" xfId="0" applyFont="1" applyFill="1"/>
    <xf numFmtId="0" fontId="38" fillId="0" borderId="0" xfId="1" applyNumberFormat="1" applyFont="1" applyFill="1" applyBorder="1" applyAlignment="1"/>
    <xf numFmtId="0" fontId="38" fillId="0" borderId="2" xfId="1" applyFont="1" applyFill="1" applyBorder="1" applyAlignment="1">
      <alignment horizontal="left" vertical="center" wrapText="1"/>
    </xf>
    <xf numFmtId="164" fontId="14" fillId="0" borderId="0" xfId="2" applyNumberFormat="1" applyFont="1" applyFill="1" applyAlignment="1">
      <alignment horizontal="center" wrapText="1"/>
    </xf>
    <xf numFmtId="0" fontId="14" fillId="0" borderId="0" xfId="0" applyFont="1" applyFill="1" applyAlignment="1">
      <alignment horizontal="center"/>
    </xf>
    <xf numFmtId="0" fontId="48" fillId="3" borderId="0" xfId="1" applyFont="1" applyFill="1" applyBorder="1" applyAlignment="1">
      <alignment horizontal="right"/>
    </xf>
    <xf numFmtId="0" fontId="48" fillId="3" borderId="0" xfId="1" applyFont="1" applyFill="1" applyBorder="1" applyAlignment="1">
      <alignment horizontal="right"/>
    </xf>
    <xf numFmtId="0" fontId="48" fillId="3" borderId="0" xfId="1" applyFont="1" applyFill="1" applyBorder="1" applyAlignment="1">
      <alignment horizontal="right"/>
    </xf>
    <xf numFmtId="0" fontId="43" fillId="0" borderId="0" xfId="7"/>
    <xf numFmtId="0" fontId="38" fillId="0" borderId="2" xfId="1" applyFont="1" applyFill="1" applyBorder="1" applyAlignment="1">
      <alignment horizontal="right"/>
    </xf>
    <xf numFmtId="164" fontId="14" fillId="0" borderId="0" xfId="2" applyNumberFormat="1" applyFont="1" applyFill="1"/>
    <xf numFmtId="0" fontId="43" fillId="3" borderId="0" xfId="15" applyFill="1"/>
    <xf numFmtId="0" fontId="38" fillId="0" borderId="0" xfId="1" applyNumberFormat="1" applyFont="1" applyFill="1" applyBorder="1" applyAlignment="1"/>
    <xf numFmtId="164" fontId="14" fillId="0" borderId="0" xfId="2" applyNumberFormat="1" applyFont="1" applyFill="1" applyAlignment="1">
      <alignment horizontal="center" wrapText="1"/>
    </xf>
    <xf numFmtId="0" fontId="14" fillId="0" borderId="0" xfId="0" applyFont="1" applyFill="1" applyAlignment="1">
      <alignment horizontal="center"/>
    </xf>
    <xf numFmtId="164" fontId="14" fillId="0" borderId="0" xfId="2" applyNumberFormat="1" applyFont="1" applyFill="1" applyAlignment="1">
      <alignment horizontal="center" wrapText="1"/>
    </xf>
    <xf numFmtId="0" fontId="14" fillId="0" borderId="0" xfId="0" applyFont="1" applyFill="1" applyAlignment="1">
      <alignment horizontal="center"/>
    </xf>
    <xf numFmtId="164" fontId="14" fillId="0" borderId="0" xfId="2" applyNumberFormat="1" applyFont="1" applyFill="1" applyAlignment="1">
      <alignment horizontal="center" wrapText="1"/>
    </xf>
    <xf numFmtId="0" fontId="14" fillId="0" borderId="0" xfId="0" applyFont="1" applyFill="1" applyAlignment="1">
      <alignment horizontal="center"/>
    </xf>
    <xf numFmtId="0" fontId="38" fillId="0" borderId="2" xfId="1" applyFont="1" applyFill="1" applyBorder="1" applyAlignment="1"/>
    <xf numFmtId="0" fontId="38" fillId="0" borderId="2" xfId="1" applyNumberFormat="1" applyFont="1" applyFill="1" applyBorder="1" applyAlignment="1"/>
    <xf numFmtId="0" fontId="38" fillId="0" borderId="2" xfId="1" applyFont="1" applyFill="1" applyBorder="1" applyAlignment="1">
      <alignment horizontal="right"/>
    </xf>
    <xf numFmtId="0" fontId="38" fillId="0" borderId="2" xfId="1" applyFont="1" applyFill="1" applyBorder="1" applyAlignment="1">
      <alignment wrapText="1"/>
    </xf>
    <xf numFmtId="0" fontId="38" fillId="0" borderId="0" xfId="1" applyNumberFormat="1" applyFont="1" applyFill="1" applyBorder="1" applyAlignment="1"/>
    <xf numFmtId="0" fontId="38" fillId="0" borderId="2" xfId="1" applyFont="1" applyFill="1" applyBorder="1" applyAlignment="1">
      <alignment horizontal="left" vertical="center" wrapText="1"/>
    </xf>
    <xf numFmtId="164" fontId="14" fillId="0" borderId="0" xfId="2" applyNumberFormat="1" applyFont="1" applyFill="1" applyAlignment="1">
      <alignment horizontal="center" wrapText="1"/>
    </xf>
    <xf numFmtId="0" fontId="14" fillId="0" borderId="0" xfId="0" applyFont="1" applyFill="1" applyAlignment="1">
      <alignment horizontal="center"/>
    </xf>
    <xf numFmtId="0" fontId="14" fillId="3" borderId="0" xfId="0" applyFont="1" applyFill="1"/>
    <xf numFmtId="0" fontId="14" fillId="0" borderId="0" xfId="0" applyFont="1"/>
    <xf numFmtId="0" fontId="43" fillId="0" borderId="0" xfId="15"/>
    <xf numFmtId="164" fontId="14" fillId="0" borderId="0" xfId="2" applyNumberFormat="1" applyFont="1" applyFill="1" applyAlignment="1">
      <alignment horizontal="center" wrapText="1"/>
    </xf>
    <xf numFmtId="0" fontId="14" fillId="0" borderId="0" xfId="0" applyFont="1" applyFill="1" applyAlignment="1">
      <alignment horizontal="center"/>
    </xf>
    <xf numFmtId="164" fontId="14" fillId="0" borderId="0" xfId="2" applyNumberFormat="1" applyFont="1" applyFill="1" applyAlignment="1">
      <alignment horizontal="center" wrapText="1"/>
    </xf>
    <xf numFmtId="0" fontId="14" fillId="0" borderId="0" xfId="0" applyFont="1" applyFill="1" applyAlignment="1">
      <alignment horizontal="center"/>
    </xf>
    <xf numFmtId="0" fontId="0" fillId="0" borderId="0" xfId="0"/>
    <xf numFmtId="0" fontId="38" fillId="0" borderId="2" xfId="1" applyFont="1" applyFill="1" applyBorder="1" applyAlignment="1"/>
    <xf numFmtId="0" fontId="38" fillId="0" borderId="2" xfId="1" applyNumberFormat="1" applyFont="1" applyFill="1" applyBorder="1" applyAlignment="1"/>
    <xf numFmtId="0" fontId="38" fillId="0" borderId="2" xfId="1" applyFont="1" applyFill="1" applyBorder="1" applyAlignment="1">
      <alignment horizontal="right"/>
    </xf>
    <xf numFmtId="0" fontId="38" fillId="0" borderId="2" xfId="1" applyFont="1" applyFill="1" applyBorder="1" applyAlignment="1">
      <alignment wrapText="1"/>
    </xf>
    <xf numFmtId="0" fontId="14" fillId="0" borderId="0" xfId="0" applyFont="1" applyFill="1" applyAlignment="1">
      <alignment wrapText="1"/>
    </xf>
    <xf numFmtId="0" fontId="38" fillId="0" borderId="0" xfId="1" applyFont="1" applyFill="1" applyAlignment="1"/>
    <xf numFmtId="0" fontId="14" fillId="0" borderId="0" xfId="0" applyFont="1" applyFill="1"/>
    <xf numFmtId="0" fontId="38" fillId="0" borderId="0" xfId="1" applyFont="1" applyFill="1" applyAlignment="1">
      <alignment horizontal="right"/>
    </xf>
    <xf numFmtId="0" fontId="38" fillId="0" borderId="0" xfId="1" applyFont="1" applyFill="1" applyBorder="1" applyAlignment="1">
      <alignment horizontal="right"/>
    </xf>
    <xf numFmtId="0" fontId="38" fillId="0" borderId="0" xfId="1" applyNumberFormat="1" applyFont="1" applyFill="1" applyBorder="1" applyAlignment="1"/>
    <xf numFmtId="0" fontId="38" fillId="0" borderId="2" xfId="1" applyFont="1" applyFill="1" applyBorder="1" applyAlignment="1">
      <alignment horizontal="left" vertical="center" wrapText="1"/>
    </xf>
    <xf numFmtId="164" fontId="14" fillId="0" borderId="0" xfId="2" applyNumberFormat="1" applyFont="1" applyFill="1" applyAlignment="1">
      <alignment horizontal="center" wrapText="1"/>
    </xf>
    <xf numFmtId="0" fontId="14" fillId="0" borderId="0" xfId="0" applyFont="1" applyFill="1" applyAlignment="1">
      <alignment horizontal="center"/>
    </xf>
    <xf numFmtId="164" fontId="13" fillId="0" borderId="0" xfId="2" applyNumberFormat="1" applyFont="1" applyFill="1" applyAlignment="1">
      <alignment wrapText="1"/>
    </xf>
    <xf numFmtId="0" fontId="13" fillId="0" borderId="0" xfId="0" applyFont="1" applyFill="1"/>
    <xf numFmtId="0" fontId="13" fillId="0" borderId="0" xfId="0" applyFont="1" applyFill="1" applyAlignment="1">
      <alignment wrapText="1"/>
    </xf>
    <xf numFmtId="0" fontId="12" fillId="3" borderId="0" xfId="0" applyFont="1" applyFill="1"/>
    <xf numFmtId="164" fontId="12" fillId="3" borderId="0" xfId="2" applyNumberFormat="1" applyFont="1" applyFill="1"/>
    <xf numFmtId="0" fontId="11" fillId="0" borderId="0" xfId="0" applyFont="1" applyFill="1"/>
    <xf numFmtId="164" fontId="11" fillId="0" borderId="0" xfId="2" applyNumberFormat="1" applyFont="1" applyFill="1"/>
    <xf numFmtId="0" fontId="11" fillId="0" borderId="0" xfId="0" applyFont="1" applyFill="1" applyBorder="1"/>
    <xf numFmtId="164" fontId="11" fillId="0" borderId="0" xfId="2" applyNumberFormat="1" applyFont="1" applyFill="1" applyBorder="1" applyAlignment="1">
      <alignment wrapText="1"/>
    </xf>
    <xf numFmtId="0" fontId="11" fillId="0" borderId="0" xfId="23"/>
    <xf numFmtId="0" fontId="10" fillId="0" borderId="0" xfId="0" applyFont="1" applyFill="1"/>
    <xf numFmtId="0" fontId="38" fillId="0" borderId="0" xfId="1" applyNumberFormat="1" applyFont="1" applyFill="1" applyBorder="1" applyAlignment="1">
      <alignment wrapText="1"/>
    </xf>
    <xf numFmtId="164" fontId="28" fillId="0" borderId="0" xfId="2" applyNumberFormat="1" applyFont="1" applyFill="1" applyAlignment="1">
      <alignment wrapText="1"/>
    </xf>
    <xf numFmtId="0" fontId="38" fillId="4" borderId="2" xfId="1" applyFont="1" applyFill="1" applyBorder="1" applyAlignment="1"/>
    <xf numFmtId="0" fontId="38" fillId="4" borderId="2" xfId="1" applyFont="1" applyFill="1" applyBorder="1" applyAlignment="1">
      <alignment horizontal="right"/>
    </xf>
    <xf numFmtId="0" fontId="38" fillId="4" borderId="2" xfId="1" applyFont="1" applyFill="1" applyBorder="1" applyAlignment="1">
      <alignment wrapText="1"/>
    </xf>
    <xf numFmtId="0" fontId="38" fillId="4" borderId="2" xfId="1" applyFont="1" applyFill="1" applyBorder="1" applyAlignment="1">
      <alignment horizontal="left" vertical="center" wrapText="1"/>
    </xf>
    <xf numFmtId="0" fontId="38" fillId="4" borderId="2" xfId="1" applyNumberFormat="1" applyFont="1" applyFill="1" applyBorder="1" applyAlignment="1"/>
    <xf numFmtId="0" fontId="38" fillId="4" borderId="0" xfId="1" applyFont="1" applyFill="1" applyAlignment="1">
      <alignment horizontal="right"/>
    </xf>
    <xf numFmtId="0" fontId="24" fillId="0" borderId="2" xfId="0" applyFont="1" applyFill="1" applyBorder="1" applyAlignment="1">
      <alignment wrapText="1"/>
    </xf>
    <xf numFmtId="164" fontId="35" fillId="4" borderId="0" xfId="2" applyNumberFormat="1" applyFont="1" applyFill="1"/>
    <xf numFmtId="0" fontId="31" fillId="4" borderId="0" xfId="0" applyFont="1" applyFill="1" applyAlignment="1">
      <alignment wrapText="1"/>
    </xf>
    <xf numFmtId="0" fontId="35" fillId="4" borderId="0" xfId="0" applyFont="1" applyFill="1"/>
    <xf numFmtId="0" fontId="9" fillId="4" borderId="0" xfId="0" applyFont="1" applyFill="1"/>
    <xf numFmtId="164" fontId="9" fillId="0" borderId="0" xfId="2" applyNumberFormat="1" applyFont="1" applyFill="1" applyAlignment="1">
      <alignment wrapText="1"/>
    </xf>
    <xf numFmtId="0" fontId="0" fillId="0" borderId="0" xfId="0" applyFill="1"/>
    <xf numFmtId="0" fontId="9" fillId="0" borderId="0" xfId="0" applyFont="1" applyFill="1"/>
    <xf numFmtId="0" fontId="9" fillId="0" borderId="0" xfId="0" quotePrefix="1" applyFont="1" applyFill="1"/>
    <xf numFmtId="0" fontId="38" fillId="7" borderId="2" xfId="1" applyFont="1" applyFill="1" applyBorder="1" applyAlignment="1"/>
    <xf numFmtId="0" fontId="38" fillId="7" borderId="2" xfId="1" applyFont="1" applyFill="1" applyBorder="1" applyAlignment="1">
      <alignment horizontal="right"/>
    </xf>
    <xf numFmtId="0" fontId="38" fillId="7" borderId="2" xfId="1" applyFont="1" applyFill="1" applyBorder="1" applyAlignment="1">
      <alignment wrapText="1"/>
    </xf>
    <xf numFmtId="0" fontId="38" fillId="7" borderId="2" xfId="1" applyFont="1" applyFill="1" applyBorder="1" applyAlignment="1">
      <alignment horizontal="left" vertical="center" wrapText="1"/>
    </xf>
    <xf numFmtId="0" fontId="39" fillId="7" borderId="0" xfId="0" applyFont="1" applyFill="1"/>
    <xf numFmtId="0" fontId="38" fillId="7" borderId="0" xfId="1" applyFont="1" applyFill="1" applyAlignment="1">
      <alignment horizontal="right"/>
    </xf>
    <xf numFmtId="0" fontId="38" fillId="7" borderId="5" xfId="1" applyFont="1" applyFill="1" applyBorder="1" applyAlignment="1">
      <alignment wrapText="1"/>
    </xf>
    <xf numFmtId="0" fontId="11" fillId="7" borderId="0" xfId="0" applyFont="1" applyFill="1"/>
    <xf numFmtId="164" fontId="25" fillId="7" borderId="0" xfId="2" applyNumberFormat="1" applyFont="1" applyFill="1" applyAlignment="1">
      <alignment wrapText="1"/>
    </xf>
    <xf numFmtId="0" fontId="38" fillId="7" borderId="2" xfId="1" applyNumberFormat="1" applyFont="1" applyFill="1" applyBorder="1" applyAlignment="1"/>
    <xf numFmtId="0" fontId="38" fillId="7" borderId="0" xfId="1" applyNumberFormat="1" applyFont="1" applyFill="1" applyBorder="1" applyAlignment="1"/>
    <xf numFmtId="0" fontId="11" fillId="7" borderId="0" xfId="23" applyFill="1"/>
    <xf numFmtId="0" fontId="0" fillId="7" borderId="0" xfId="0" applyFill="1"/>
    <xf numFmtId="164" fontId="9" fillId="3" borderId="0" xfId="2" applyNumberFormat="1" applyFont="1" applyFill="1" applyAlignment="1">
      <alignment wrapText="1"/>
    </xf>
    <xf numFmtId="0" fontId="39" fillId="4" borderId="0" xfId="0" applyNumberFormat="1" applyFont="1" applyFill="1"/>
    <xf numFmtId="0" fontId="54" fillId="0" borderId="0" xfId="0" applyFont="1" applyFill="1" applyAlignment="1">
      <alignment wrapText="1"/>
    </xf>
    <xf numFmtId="0" fontId="0" fillId="0" borderId="0" xfId="0" applyFill="1" applyAlignment="1">
      <alignment horizontal="left"/>
    </xf>
    <xf numFmtId="0" fontId="0" fillId="0" borderId="0" xfId="0" quotePrefix="1" applyFill="1"/>
    <xf numFmtId="0" fontId="9" fillId="0" borderId="0" xfId="0" applyFont="1" applyFill="1" applyAlignment="1">
      <alignment wrapText="1"/>
    </xf>
    <xf numFmtId="0" fontId="39" fillId="0" borderId="0" xfId="0" applyFont="1" applyFill="1" applyAlignment="1">
      <alignment horizontal="left" vertical="center" wrapText="1"/>
    </xf>
    <xf numFmtId="168" fontId="55" fillId="0" borderId="4" xfId="24" applyNumberFormat="1" applyFont="1" applyFill="1" applyBorder="1" applyAlignment="1"/>
    <xf numFmtId="0" fontId="43" fillId="0" borderId="4" xfId="4" applyFont="1" applyFill="1" applyBorder="1" applyAlignment="1">
      <alignment vertical="center"/>
    </xf>
    <xf numFmtId="165" fontId="40" fillId="0" borderId="0" xfId="0" applyNumberFormat="1" applyFont="1" applyFill="1"/>
    <xf numFmtId="0" fontId="56" fillId="0" borderId="0" xfId="0" applyFont="1" applyFill="1"/>
    <xf numFmtId="0" fontId="39" fillId="0" borderId="0" xfId="0" applyNumberFormat="1" applyFont="1" applyFill="1" applyAlignment="1"/>
    <xf numFmtId="0" fontId="8" fillId="0" borderId="0" xfId="0" applyNumberFormat="1" applyFont="1" applyFill="1" applyAlignment="1"/>
    <xf numFmtId="0" fontId="31" fillId="0" borderId="5" xfId="0" applyFont="1" applyFill="1" applyBorder="1" applyAlignment="1">
      <alignment wrapText="1"/>
    </xf>
    <xf numFmtId="0" fontId="7" fillId="0" borderId="0" xfId="0" applyFont="1" applyFill="1" applyAlignment="1">
      <alignment wrapText="1"/>
    </xf>
    <xf numFmtId="0" fontId="7" fillId="4" borderId="0" xfId="0" applyFont="1" applyFill="1"/>
    <xf numFmtId="0" fontId="6" fillId="4" borderId="0" xfId="0" applyFont="1" applyFill="1" applyAlignment="1">
      <alignment wrapText="1"/>
    </xf>
    <xf numFmtId="164" fontId="6" fillId="3" borderId="0" xfId="2" applyNumberFormat="1" applyFont="1" applyFill="1" applyAlignment="1">
      <alignment wrapText="1"/>
    </xf>
    <xf numFmtId="0" fontId="6" fillId="0" borderId="0" xfId="0" applyFont="1" applyFill="1"/>
    <xf numFmtId="0" fontId="6" fillId="0" borderId="0" xfId="0" applyFont="1" applyFill="1" applyAlignment="1">
      <alignment wrapText="1"/>
    </xf>
    <xf numFmtId="0" fontId="0" fillId="0" borderId="0" xfId="0" quotePrefix="1" applyNumberFormat="1"/>
    <xf numFmtId="0" fontId="25" fillId="0" borderId="0" xfId="0" quotePrefix="1" applyNumberFormat="1" applyFont="1" applyFill="1"/>
    <xf numFmtId="0" fontId="9" fillId="0" borderId="0" xfId="0" quotePrefix="1" applyNumberFormat="1" applyFont="1" applyFill="1"/>
    <xf numFmtId="0" fontId="19" fillId="0" borderId="0" xfId="0" quotePrefix="1" applyNumberFormat="1" applyFont="1" applyFill="1"/>
    <xf numFmtId="0" fontId="0" fillId="0" borderId="0" xfId="0" quotePrefix="1" applyNumberFormat="1" applyFill="1"/>
    <xf numFmtId="1" fontId="0" fillId="0" borderId="0" xfId="0" applyNumberFormat="1"/>
    <xf numFmtId="0" fontId="22" fillId="0" borderId="0" xfId="0" quotePrefix="1" applyNumberFormat="1" applyFont="1" applyFill="1"/>
    <xf numFmtId="0" fontId="9" fillId="4" borderId="0" xfId="0" quotePrefix="1" applyNumberFormat="1" applyFont="1" applyFill="1"/>
    <xf numFmtId="0" fontId="6" fillId="0" borderId="0" xfId="0" applyNumberFormat="1" applyFont="1" applyFill="1"/>
    <xf numFmtId="0" fontId="5" fillId="0" borderId="0" xfId="0" applyFont="1"/>
    <xf numFmtId="0" fontId="5" fillId="0" borderId="0" xfId="0" applyNumberFormat="1" applyFont="1" applyAlignment="1"/>
    <xf numFmtId="0" fontId="5" fillId="0" borderId="0" xfId="0" applyFont="1" applyFill="1"/>
    <xf numFmtId="0" fontId="57" fillId="0" borderId="0" xfId="0" applyFont="1"/>
    <xf numFmtId="0" fontId="45" fillId="0" borderId="0" xfId="0" applyFont="1"/>
    <xf numFmtId="0" fontId="37" fillId="0" borderId="2" xfId="1" applyFont="1" applyFill="1" applyBorder="1" applyAlignment="1">
      <alignment horizontal="right" wrapText="1"/>
    </xf>
    <xf numFmtId="0" fontId="37" fillId="0" borderId="2" xfId="1" applyFont="1" applyFill="1" applyBorder="1" applyAlignment="1">
      <alignment horizontal="right" wrapText="1"/>
    </xf>
    <xf numFmtId="0" fontId="5" fillId="0" borderId="0" xfId="0" applyFont="1" applyFill="1" applyAlignment="1">
      <alignment wrapText="1"/>
    </xf>
    <xf numFmtId="0" fontId="37" fillId="0" borderId="2" xfId="27" applyFont="1" applyFill="1" applyBorder="1" applyAlignment="1">
      <alignment horizontal="right" wrapText="1"/>
    </xf>
    <xf numFmtId="0" fontId="5" fillId="0" borderId="3" xfId="0" applyFont="1" applyFill="1" applyBorder="1"/>
    <xf numFmtId="0" fontId="5" fillId="3" borderId="0" xfId="0" applyFont="1" applyFill="1"/>
    <xf numFmtId="16" fontId="39" fillId="0" borderId="0" xfId="0" applyNumberFormat="1" applyFont="1" applyFill="1"/>
    <xf numFmtId="0" fontId="5" fillId="0" borderId="0" xfId="0" applyNumberFormat="1" applyFont="1" applyFill="1" applyAlignment="1"/>
    <xf numFmtId="0" fontId="37" fillId="0" borderId="2" xfId="28" applyFont="1" applyFill="1" applyBorder="1" applyAlignment="1">
      <alignment horizontal="right" wrapText="1"/>
    </xf>
    <xf numFmtId="0" fontId="5" fillId="4" borderId="0" xfId="0" applyFont="1" applyFill="1"/>
    <xf numFmtId="0" fontId="37" fillId="0" borderId="2" xfId="28" applyFont="1" applyFill="1" applyBorder="1" applyAlignment="1">
      <alignment horizontal="right" wrapText="1"/>
    </xf>
    <xf numFmtId="0" fontId="37" fillId="0" borderId="2" xfId="1" applyFont="1" applyFill="1" applyBorder="1" applyAlignment="1">
      <alignment horizontal="right" wrapText="1"/>
    </xf>
    <xf numFmtId="0" fontId="37" fillId="0" borderId="2" xfId="1" applyFont="1" applyFill="1" applyBorder="1" applyAlignment="1">
      <alignment horizontal="right" wrapText="1"/>
    </xf>
    <xf numFmtId="0" fontId="37" fillId="8" borderId="0" xfId="0" applyFont="1" applyFill="1"/>
    <xf numFmtId="164" fontId="37" fillId="8" borderId="0" xfId="2" applyNumberFormat="1" applyFont="1" applyFill="1"/>
    <xf numFmtId="0" fontId="37" fillId="8" borderId="2" xfId="1" applyFont="1" applyFill="1" applyBorder="1" applyAlignment="1"/>
    <xf numFmtId="0" fontId="37" fillId="8" borderId="2" xfId="1" applyNumberFormat="1" applyFont="1" applyFill="1" applyBorder="1" applyAlignment="1"/>
    <xf numFmtId="0" fontId="0" fillId="0" borderId="0" xfId="0" pivotButton="1"/>
    <xf numFmtId="0" fontId="0" fillId="0" borderId="0" xfId="0" applyNumberFormat="1"/>
    <xf numFmtId="0" fontId="4" fillId="0" borderId="0" xfId="0" applyFont="1"/>
    <xf numFmtId="0" fontId="4" fillId="0" borderId="0" xfId="0" applyFont="1" applyFill="1"/>
    <xf numFmtId="0" fontId="4" fillId="0" borderId="0" xfId="0" applyNumberFormat="1" applyFont="1" applyFill="1"/>
    <xf numFmtId="0" fontId="3" fillId="4" borderId="0" xfId="0" applyFont="1" applyFill="1"/>
    <xf numFmtId="0" fontId="2" fillId="0" borderId="0" xfId="0" applyFont="1" applyFill="1"/>
  </cellXfs>
  <cellStyles count="29">
    <cellStyle name="Comma" xfId="24" builtinId="3"/>
    <cellStyle name="Comma 2" xfId="11"/>
    <cellStyle name="Comma 2 2" xfId="12"/>
    <cellStyle name="Comma 3" xfId="13"/>
    <cellStyle name="Comma 4" xfId="10"/>
    <cellStyle name="Hyperlink" xfId="5" builtinId="8"/>
    <cellStyle name="Normal" xfId="0" builtinId="0"/>
    <cellStyle name="Normal 2" xfId="6"/>
    <cellStyle name="Normal 2 2" xfId="15"/>
    <cellStyle name="Normal 2 3" xfId="14"/>
    <cellStyle name="Normal 3" xfId="9"/>
    <cellStyle name="Normal 3 2" xfId="17"/>
    <cellStyle name="Normal 3 3" xfId="18"/>
    <cellStyle name="Normal 3 4" xfId="16"/>
    <cellStyle name="Normal 4" xfId="7"/>
    <cellStyle name="Normal 4 2" xfId="19"/>
    <cellStyle name="Normal 5" xfId="20"/>
    <cellStyle name="Normal 6" xfId="23"/>
    <cellStyle name="Normal 7" xfId="25"/>
    <cellStyle name="Normal 8" xfId="26"/>
    <cellStyle name="Normal_EAFs rural urban counties 2" xfId="4"/>
    <cellStyle name="Normal_Sheet1" xfId="1"/>
    <cellStyle name="Normal_Sheet1_1" xfId="3"/>
    <cellStyle name="Normal_Sheet2" xfId="27"/>
    <cellStyle name="Normal_Sheet3" xfId="28"/>
    <cellStyle name="Percent" xfId="2" builtinId="5"/>
    <cellStyle name="Percent 2" xfId="8"/>
    <cellStyle name="Percent 2 2" xfId="22"/>
    <cellStyle name="Percent 3" xfId="2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Madeleine Strum" refreshedDate="40863.534765856479" createdVersion="3" refreshedVersion="3" minRefreshableVersion="3" recordCount="172">
  <cacheSource type="worksheet">
    <worksheetSource ref="A1:AP175" sheet="EAF Facilities 2008"/>
  </cacheSource>
  <cacheFields count="42">
    <cacheField name="FIPS" numFmtId="0">
      <sharedItems containsBlank="1"/>
    </cacheField>
    <cacheField name="State" numFmtId="0">
      <sharedItems containsBlank="1"/>
    </cacheField>
    <cacheField name="EIS county" numFmtId="0">
      <sharedItems containsBlank="1"/>
    </cacheField>
    <cacheField name="Program System Code " numFmtId="0">
      <sharedItems containsBlank="1"/>
    </cacheField>
    <cacheField name="EIS Facility ID -donot use" numFmtId="0">
      <sharedItems containsBlank="1" containsMixedTypes="1" containsNumber="1" containsInteger="1" minValue="715211" maxValue="7892211"/>
    </cacheField>
    <cacheField name="Agency Identifier" numFmtId="0">
      <sharedItems containsBlank="1" containsMixedTypes="1" containsNumber="1" containsInteger="1" minValue="18052" maxValue="3709100099"/>
    </cacheField>
    <cacheField name="TRI Facility ID" numFmtId="0">
      <sharedItems containsBlank="1"/>
    </cacheField>
    <cacheField name="EIS Facility Type" numFmtId="0">
      <sharedItems containsBlank="1"/>
    </cacheField>
    <cacheField name="CATEGORY" numFmtId="0">
      <sharedItems containsBlank="1"/>
    </cacheField>
    <cacheField name="NATA Hg (lbs)" numFmtId="0">
      <sharedItems containsBlank="1" containsMixedTypes="1" containsNumber="1" minValue="0.05" maxValue="947.8767180000001"/>
    </cacheField>
    <cacheField name="NATA data source(s):  T=TRI, S=State, L=Local, R&amp;P is EPA data from previous rule work, N=carried forward, BOI-AUG is EPA data from boiler augmentation" numFmtId="0">
      <sharedItems containsBlank="1"/>
    </cacheField>
    <cacheField name="EIS-SLT 2008 Hg (lbs)" numFmtId="0">
      <sharedItems containsBlank="1" containsMixedTypes="1" containsNumber="1" minValue="8.2110840000000004E-3" maxValue="1068.24"/>
    </cacheField>
    <cacheField name="TRI 2008 Hg  (lbs)" numFmtId="0">
      <sharedItems containsBlank="1" containsMixedTypes="1" containsNumber="1" minValue="0.01" maxValue="359"/>
    </cacheField>
    <cacheField name="EIS Facility Name" numFmtId="0">
      <sharedItems containsBlank="1"/>
    </cacheField>
    <cacheField name="EIS Company Name" numFmtId="0">
      <sharedItems containsBlank="1"/>
    </cacheField>
    <cacheField name="EIS Op Status" numFmtId="0">
      <sharedItems containsBlank="1"/>
    </cacheField>
    <cacheField name="EIS Op Status Year" numFmtId="0">
      <sharedItems containsString="0" containsBlank="1" containsNumber="1" containsInteger="1" minValue="1979" maxValue="2009"/>
    </cacheField>
    <cacheField name="EIS Address" numFmtId="0">
      <sharedItems containsBlank="1"/>
    </cacheField>
    <cacheField name="EIS City" numFmtId="0">
      <sharedItems containsBlank="1"/>
    </cacheField>
    <cacheField name="EPA Rule (test data) Hg (lbs)" numFmtId="0">
      <sharedItems containsBlank="1" containsMixedTypes="1" containsNumber="1" minValue="0" maxValue="583.32735154255954"/>
    </cacheField>
    <cacheField name="EPA Rule Test data facility ID (excel file containing test data)" numFmtId="0">
      <sharedItems containsBlank="1"/>
    </cacheField>
    <cacheField name="EPA Questions/Comments" numFmtId="0">
      <sharedItems containsBlank="1" longText="1"/>
    </cacheField>
    <cacheField name="EPA Recommended Data for 2008 EIS, EAFs" numFmtId="0">
      <sharedItems containsBlank="1"/>
    </cacheField>
    <cacheField name="SLT agree/disagree" numFmtId="0">
      <sharedItems containsBlank="1"/>
    </cacheField>
    <cacheField name="SLT comment" numFmtId="0">
      <sharedItems containsBlank="1" longText="1"/>
    </cacheField>
    <cacheField name="SLT  updated Hg emissions value for EAF process(es)" numFmtId="0">
      <sharedItems containsBlank="1" containsMixedTypes="1" containsNumber="1" minValue="2.2100000000000002E-2" maxValue="313.45"/>
    </cacheField>
    <cacheField name="Agency Unit ID for the SLT value or EPA Recommended Gapfill Value (add lines for multiple units)" numFmtId="0">
      <sharedItems containsBlank="1" containsMixedTypes="1" containsNumber="1" minValue="0" maxValue="122164"/>
    </cacheField>
    <cacheField name="Agency Process ID  for the the SLT value or EPA Recommended Gapfill Value (add lines for multiple processes)" numFmtId="0">
      <sharedItems containsBlank="1" containsMixedTypes="1" containsNumber="1" containsInteger="1" minValue="1" maxValue="96721"/>
    </cacheField>
    <cacheField name="EIS facility ID" numFmtId="0">
      <sharedItems containsBlank="1" containsMixedTypes="1" containsNumber="1" containsInteger="1" minValue="715211" maxValue="7892211" count="82">
        <s v="553311"/>
        <s v="827611"/>
        <s v="976111"/>
        <s v="985911"/>
        <s v="1000011"/>
        <s v="1001311"/>
        <s v="1002411"/>
        <s v="1003711"/>
        <s v="1008911"/>
        <s v="1083611"/>
        <s v="1084511"/>
        <s v="1733111"/>
        <s v="2898511"/>
        <s v="3188811"/>
        <s v="3819011"/>
        <s v="3828811"/>
        <s v="3892811"/>
        <s v="3986511"/>
        <s v="4014511"/>
        <s v="4097111"/>
        <s v="4104211"/>
        <s v="4350411"/>
        <s v="4543911"/>
        <s v="4760011"/>
        <s v="4840211"/>
        <s v="4930611"/>
        <s v="4947711"/>
        <s v="4951411"/>
        <s v="4953011"/>
        <s v="4967711"/>
        <s v="4968111"/>
        <s v="5198911"/>
        <s v="5206211"/>
        <s v="5680611"/>
        <s v="5684911"/>
        <s v="5698711"/>
        <s v="5706611"/>
        <s v="6508311"/>
        <s v="6533011"/>
        <s v="6581311"/>
        <s v="6633511"/>
        <s v="6641511"/>
        <s v="6742911"/>
        <s v="7146811"/>
        <s v="7286511"/>
        <s v="7290011"/>
        <s v="7361711"/>
        <s v="7376911"/>
        <s v="7410711"/>
        <s v="7427611"/>
        <s v="7430011"/>
        <s v="7434211"/>
        <s v="7436511"/>
        <s v="7503711"/>
        <s v="7892311"/>
        <n v="7892211"/>
        <s v="7913311"/>
        <s v="7921911"/>
        <s v="7991611"/>
        <s v="7994811"/>
        <s v="8005811"/>
        <s v="8050311"/>
        <s v="8125711"/>
        <s v="8141411"/>
        <s v="8187311"/>
        <s v="8190711"/>
        <s v="8199711"/>
        <s v="8221411"/>
        <s v="8221911"/>
        <s v="8224911"/>
        <s v="8234411"/>
        <s v="8234611"/>
        <s v="8311911"/>
        <s v="8521511"/>
        <s v="9662811"/>
        <s v="12569611"/>
        <s v="13572711"/>
        <s v="13572911"/>
        <s v="8048711"/>
        <n v="7442611"/>
        <n v="715211"/>
        <m/>
      </sharedItems>
    </cacheField>
    <cacheField name="DID STATE REPORT IN EIS????" numFmtId="0">
      <sharedItems containsBlank="1"/>
    </cacheField>
    <cacheField name="EPA NataReview (lbs)" numFmtId="0">
      <sharedItems containsBlank="1" containsMixedTypes="1" containsNumber="1" minValue="0" maxValue="313.45"/>
    </cacheField>
    <cacheField name="gapfill dataset for EIS" numFmtId="0">
      <sharedItems containsBlank="1" count="7">
        <s v="EPARULE"/>
        <s v="SLT"/>
        <s v="TRI"/>
        <s v="EPA_OTHER"/>
        <s v="NONE"/>
        <s v="NATA"/>
        <m/>
      </sharedItems>
    </cacheField>
    <cacheField name="EPA apportionment factor (multiply facility emissions by this number)" numFmtId="0">
      <sharedItems containsBlank="1" containsMixedTypes="1" containsNumber="1" minValue="0" maxValue="1" count="63">
        <n v="1"/>
        <n v="0"/>
        <n v="0.14330000000000001"/>
        <n v="0.30690000000000001"/>
        <n v="5.7799999999999997E-2"/>
        <n v="0.49199999999999999"/>
        <n v="0.3453"/>
        <n v="0.32700000000000001"/>
        <n v="0.32769999999999999"/>
        <n v="0.82051282051282048"/>
        <n v="0.17948717948717949"/>
        <n v="0.4803"/>
        <n v="0.24"/>
        <n v="3.9699999999999999E-2"/>
        <n v="1.1169024571854057E-2"/>
        <n v="0.76917349218168274"/>
        <n v="0.21965748324646311"/>
        <m/>
        <s v=" "/>
        <n v="0.1008"/>
        <n v="0.8992"/>
        <n v="0.7"/>
        <n v="0.3"/>
        <n v="0.64319999999999999"/>
        <n v="0.34639999999999999"/>
        <n v="1.04E-2"/>
        <n v="0.42720000000000002"/>
        <n v="7.2800000000000004E-2"/>
        <n v="5.2699999999999997E-2"/>
        <n v="0.3271"/>
        <n v="0.62019999999999997"/>
        <n v="0.5"/>
        <n v="0.99115461631389945"/>
        <n v="4.571631886408394E-4"/>
        <n v="3.3408079169907493E-3"/>
        <n v="1.8410644248431991E-3"/>
        <n v="3.2063481556257965E-3"/>
        <n v="0.40400000000000003"/>
        <n v="0.59599999999999997"/>
        <n v="0.14093959731543623"/>
        <n v="0.85906040268456374"/>
        <n v="0.33329999999999999"/>
        <n v="4.2510121457489884E-2"/>
        <n v="0.5668016194331984"/>
        <n v="0.30364372469635631"/>
        <n v="1.0121457489878543E-2"/>
        <n v="1.8218623481781378E-2"/>
        <n v="3.036437246963563E-2"/>
        <n v="0.42010309278350522"/>
        <n v="0.57989690721649489"/>
        <n v="0.99966113181972205"/>
        <n v="3.3886818027787188E-4"/>
        <n v="2.3999999999999998E-3"/>
        <n v="0.86399999999999999"/>
        <n v="0.1336"/>
        <n v="0.53449999999999998"/>
        <n v="0.46550000000000002"/>
        <n v="0.1923"/>
        <n v="0.2888"/>
        <n v="0.32540000000000002"/>
        <n v="0.19350000000000001"/>
        <n v="0.49349999999999999"/>
        <n v="0.50649999999999995"/>
      </sharedItems>
    </cacheField>
    <cacheField name="EPA process (EIS ID)" numFmtId="0">
      <sharedItems containsBlank="1" containsMixedTypes="1" containsNumber="1" containsInteger="1" minValue="513714" maxValue="124007314" longText="1"/>
    </cacheField>
    <cacheField name="POLLUTANT" numFmtId="0">
      <sharedItems containsString="0" containsBlank="1" containsNumber="1" containsInteger="1" minValue="7439976" maxValue="7439976"/>
    </cacheField>
    <cacheField name="basis" numFmtId="0">
      <sharedItems containsBlank="1" containsMixedTypes="1" containsNumber="1" minValue="0" maxValue="8359"/>
    </cacheField>
    <cacheField name="date" numFmtId="0">
      <sharedItems containsDate="1" containsBlank="1" containsMixedTypes="1" minDate="2011-09-19T00:00:00" maxDate="2011-11-17T00:00:00"/>
    </cacheField>
    <cacheField name="comment for EIS" numFmtId="0">
      <sharedItems containsBlank="1"/>
    </cacheField>
    <cacheField name="length" numFmtId="0">
      <sharedItems containsBlank="1" containsMixedTypes="1" containsNumber="1" containsInteger="1" minValue="0" maxValue="250"/>
    </cacheField>
    <cacheField name="Method Calculation Code" numFmtId="0">
      <sharedItems containsBlank="1" containsMixedTypes="1" containsNumber="1" containsInteger="1" minValue="2" maxValue="13"/>
    </cacheField>
    <cacheField name="followup with SLT" numFmtId="0">
      <sharedItems containsBlank="1"/>
    </cacheField>
    <cacheField name="Notes for Pechan" numFmtId="0">
      <sharedItems containsBlank="1"/>
    </cacheField>
  </cacheFields>
</pivotCacheDefinition>
</file>

<file path=xl/pivotCache/pivotCacheRecords1.xml><?xml version="1.0" encoding="utf-8"?>
<pivotCacheRecords xmlns="http://schemas.openxmlformats.org/spreadsheetml/2006/main" xmlns:r="http://schemas.openxmlformats.org/officeDocument/2006/relationships" count="172">
  <r>
    <s v="13015"/>
    <s v="GA"/>
    <s v="Bartow"/>
    <s v="GADNR"/>
    <s v="553311"/>
    <s v="01500032"/>
    <s v="30120TLNTCPEEPL"/>
    <s v="Steel Mill"/>
    <s v="Electric Arc Furnaces"/>
    <n v="0.62999999999999989"/>
    <s v="T|2005"/>
    <m/>
    <n v="0.33"/>
    <s v="Gerdau Ameristeel US Inc."/>
    <s v="Na"/>
    <s v="OP"/>
    <n v="2008"/>
    <s v="384 Old Grassdale Rd"/>
    <s v="Cartersville"/>
    <n v="186.20443993597854"/>
    <s v="Ger-Cartersville-GA"/>
    <s v="No TRI nor State data"/>
    <s v="EPA RULE DATA "/>
    <s v="Agree"/>
    <s v="Communicated with facility and all agree that that is a valid number"/>
    <n v="186.20443993597854"/>
    <s v="GG01"/>
    <n v="1"/>
    <x v="0"/>
    <s v="NO"/>
    <m/>
    <x v="0"/>
    <x v="0"/>
    <s v="45801714"/>
    <n v="7439976"/>
    <m/>
    <d v="2011-10-18T00:00:00"/>
    <s v="EPA EAF  ICR data based on 2010 emissions testing and recorded steel production rates, resulting EF applied to 2009 steel production (Donna Lee Jones, EPA/OAQPS/SPPD)"/>
    <n v="166"/>
    <n v="10"/>
    <m/>
    <m/>
  </r>
  <r>
    <s v="12031"/>
    <s v="FL"/>
    <s v="Duval"/>
    <s v="FLDEP"/>
    <s v="827611"/>
    <s v="0310157"/>
    <s v="32234FLRDSHWY21"/>
    <s v="Steel Mill"/>
    <s v="Electric Arc Furnaces"/>
    <n v="12.501999999999999"/>
    <s v="T|2005"/>
    <m/>
    <n v="5.4399999999999995"/>
    <s v="GERDAU AMERISTEEL JACKSONVILLE MILL DIV."/>
    <s v="Na"/>
    <s v="OP"/>
    <n v="2008"/>
    <s v="16770 REBAR ROAD"/>
    <s v="JACKSONVILLE"/>
    <n v="105.15584527625815"/>
    <s v="Ger-Jacksonville-FL"/>
    <s v="Have TRI and EPA rule data; Use EPA rule data"/>
    <s v="EPA RULE DATA "/>
    <s v="Disagree"/>
    <s v="Use Same EPA EF but update process rate for 2008"/>
    <n v="121.1"/>
    <s v="EU008: Melt Shop: EAF"/>
    <s v="30400701-Tons Metal Processed"/>
    <x v="1"/>
    <s v="YES - process 92590114  "/>
    <m/>
    <x v="1"/>
    <x v="1"/>
    <m/>
    <n v="7439976"/>
    <m/>
    <d v="2011-10-20T00:00:00"/>
    <m/>
    <n v="0"/>
    <m/>
    <m/>
    <m/>
  </r>
  <r>
    <s v="12031"/>
    <s v="FL"/>
    <s v="Duval"/>
    <s v="FLDEP"/>
    <s v="827611"/>
    <s v="0310157"/>
    <s v="32234FLRDSHWY21"/>
    <s v="Steel Mill"/>
    <s v="Electric Arc Furnaces"/>
    <n v="12.501999999999999"/>
    <s v="T|2005"/>
    <m/>
    <n v="5.4399999999999995"/>
    <s v="GERDAU AMERISTEEL JACKSONVILLE MILL DIV."/>
    <s v="Na"/>
    <s v="OP"/>
    <n v="2008"/>
    <s v="16770 REBAR ROAD"/>
    <s v="JACKSONVILLE"/>
    <n v="105.15584527625815"/>
    <s v="Ger-Jacksonville-FL"/>
    <s v="Have TRI and EPA rule data; Use EPA rule data"/>
    <s v="EPA RULE DATA "/>
    <s v="Disagree"/>
    <s v="Use Same EPA EF but update process rate for 2008"/>
    <n v="121.1"/>
    <s v="EU008: Melt Shop: EAF"/>
    <s v="30400701-Tons Metal Processed"/>
    <x v="1"/>
    <s v="YES - process 92590114  "/>
    <m/>
    <x v="0"/>
    <x v="0"/>
    <n v="92590114"/>
    <n v="7439976"/>
    <m/>
    <d v="2011-11-15T00:00:00"/>
    <s v="EPA EAF  ICR data based on 2010 emissions testing and recorded steel production rates, resulting EF applied to 2009 steel production (Donna Lee Jones, EPA/OAQPS/SPPD)"/>
    <s v=" "/>
    <n v="10"/>
    <m/>
    <m/>
  </r>
  <r>
    <s v="05131"/>
    <s v="AR"/>
    <s v="Sebastian"/>
    <s v="ARDEQ"/>
    <s v="976111"/>
    <s v="0513100274"/>
    <s v="72902QNXMC4700P"/>
    <s v="Steel Mill"/>
    <s v="Electric Arc Furnaces"/>
    <n v="5.50024E-2"/>
    <s v="T|2005"/>
    <m/>
    <n v="4.4499999999999998E-2"/>
    <s v="QUANEX CORPORATION-MACSTEEL DIVISION"/>
    <s v="Quanex Corporation"/>
    <s v="OP"/>
    <n v="2008"/>
    <s v="5225 PLANTERS ROAD"/>
    <s v="FORT SMITH"/>
    <s v=""/>
    <s v=" "/>
    <s v="TRI data, but no EIS data"/>
    <s v="TRI 2008"/>
    <s v="Agree"/>
    <m/>
    <m/>
    <m/>
    <m/>
    <x v="2"/>
    <s v="NO"/>
    <m/>
    <x v="2"/>
    <x v="0"/>
    <s v="62278314"/>
    <n v="7439976"/>
    <s v="only 1 EAF scc and it is this process"/>
    <d v="2011-10-03T00:00:00"/>
    <s v="2008TRI; assigned to the only EAF SCC at the facility"/>
    <n v="53"/>
    <n v="2"/>
    <s v="Note:  get 120 lbs =482610*0.00025 if we use avge EF approach.  May want to rethink using TRI"/>
    <m/>
  </r>
  <r>
    <s v="01097"/>
    <s v="AL"/>
    <s v="Mobile"/>
    <s v="ADEM"/>
    <s v="985911"/>
    <s v="8065"/>
    <s v="36505PSCST12400"/>
    <s v="Steel Mill"/>
    <s v="Electric Arc Furnaces"/>
    <n v="102.6"/>
    <s v="S|2005"/>
    <n v="0.252"/>
    <n v="0.252"/>
    <s v="SSAB Alabama Inc"/>
    <s v="Na"/>
    <s v="OP"/>
    <n v="2008"/>
    <s v="12400 Highway 43,North"/>
    <s v="Axis"/>
    <n v="207.77049837117218"/>
    <s v="SSAB-Axis-AL"/>
    <s v="RECENT EPA RULE TEST DATA MUCH GREATER THAN SLT EMISSIONS.  "/>
    <s v="EPA RULE DATA"/>
    <s v="Agree"/>
    <m/>
    <m/>
    <m/>
    <m/>
    <x v="3"/>
    <s v="NO"/>
    <m/>
    <x v="0"/>
    <x v="0"/>
    <s v="61635214"/>
    <n v="7439976"/>
    <m/>
    <m/>
    <s v="EPA EAF  ICR data based on 2010 emissions testing and recorded steel production rates, resulting EF applied to 2009 steel production (Donna Lee Jones, EPA/OAQPS/SPPD)"/>
    <n v="166"/>
    <n v="10"/>
    <m/>
    <m/>
  </r>
  <r>
    <s v="01097"/>
    <s v="AL"/>
    <s v="Mobile"/>
    <s v="ADEM"/>
    <s v="985911"/>
    <s v="8065"/>
    <s v="36505PSCST12400"/>
    <s v="Steel Mill"/>
    <s v="Electric Arc Furnaces"/>
    <n v="102.6"/>
    <s v="S|2005"/>
    <n v="0.252"/>
    <n v="0.252"/>
    <s v="SSAB Alabama Inc"/>
    <s v="Na"/>
    <s v="OP"/>
    <n v="2008"/>
    <s v="12400 Highway 43,North"/>
    <s v="Axis"/>
    <n v="207.77049837117218"/>
    <s v="SSAB-Axis-AL"/>
    <s v="RECENT EPA RULE TEST DATA MUCH GREATER THAN SLT EMISSIONS.  "/>
    <s v="EPA RULE DATA"/>
    <s v="Agree"/>
    <m/>
    <m/>
    <m/>
    <m/>
    <x v="3"/>
    <s v="NO"/>
    <n v="207.77049837117218"/>
    <x v="3"/>
    <x v="0"/>
    <n v="61635214"/>
    <n v="7439976"/>
    <m/>
    <m/>
    <s v="EPA EAF  ICR data based on 2010 emissions testing and recorded steel production rates, resulting EF applied to 2009 steel production (Donna Lee Jones, EPA/OAQPS/SPPD)"/>
    <n v="166"/>
    <n v="10"/>
    <m/>
    <m/>
  </r>
  <r>
    <s v="01103"/>
    <s v="AL"/>
    <s v="Morgan"/>
    <s v="ADEM"/>
    <s v="1000011"/>
    <s v="0037"/>
    <s v="35603TRCST4301H"/>
    <s v="Steel Mill"/>
    <s v="Electric Arc Furnaces"/>
    <n v="299.42999999999995"/>
    <s v="T|2005"/>
    <n v="1.42"/>
    <n v="74.001800000000003"/>
    <s v="NUCOR Steel Decatur LLC"/>
    <s v=""/>
    <s v="OP"/>
    <n v="2008"/>
    <s v="4301 Iverson Rd"/>
    <s v="Trinity"/>
    <s v=""/>
    <s v=" "/>
    <s v="SLT submitted Hg data. &gt;200% difference between EIS and TRI.  Not sure why state lower. SLT  Hg covers EAF processes.   Possibly TRI is an overestimate?"/>
    <s v="SLT 2008"/>
    <s v="Agree"/>
    <s v="email sent 10/21 by Lisa Cole:  For Nucor Tuscaloosa and Nucor Decatur, please use the EIS-SLT values"/>
    <m/>
    <m/>
    <m/>
    <x v="4"/>
    <s v="YES "/>
    <m/>
    <x v="1"/>
    <x v="1"/>
    <m/>
    <n v="7439976"/>
    <m/>
    <m/>
    <m/>
    <n v="0"/>
    <m/>
    <m/>
    <m/>
  </r>
  <r>
    <s v="01073"/>
    <s v="AL"/>
    <s v="Jefferson"/>
    <s v="ALJCBOH"/>
    <s v="1001311"/>
    <n v="10730260"/>
    <s v="35234BRMNG4301F"/>
    <s v="Steel Mill"/>
    <s v="Electric Arc Furnaces"/>
    <n v="188.57745799999998"/>
    <s v="BOI-AUG|2005, T|2005"/>
    <m/>
    <n v="298.98"/>
    <s v="NUCOR STEEL BIRMINGHAM,INC."/>
    <s v=""/>
    <s v="OP"/>
    <n v="2008"/>
    <s v="2301 Shuttlesworth DR"/>
    <s v="Birmingham"/>
    <s v=""/>
    <s v=" "/>
    <s v="Facility reported two TRI records (one using the &quot;mercury and compounds&quot; and the &quot;mercury&quot; pollutant codes)  for mercury. Will use sum of the two values."/>
    <s v="TRI 2008"/>
    <s v="Disagree"/>
    <s v="Jason recomputed emissions using 2.8e-4 lbs/ton per phone call on 10/21/2011 and I emailed Ed Wright to enter it as AL data"/>
    <m/>
    <m/>
    <m/>
    <x v="5"/>
    <s v="YES "/>
    <m/>
    <x v="1"/>
    <x v="1"/>
    <m/>
    <n v="7439976"/>
    <m/>
    <m/>
    <m/>
    <n v="0"/>
    <m/>
    <m/>
    <m/>
  </r>
  <r>
    <s v="01073"/>
    <s v="AL"/>
    <s v="Jefferson"/>
    <s v="ALJCBOH"/>
    <s v="1002411"/>
    <s v="010730080"/>
    <s v="35212SMSTLPOBOX"/>
    <s v="Steel Mill"/>
    <s v="Electric Arc Furnaces"/>
    <m/>
    <s v=" "/>
    <m/>
    <n v="49.6"/>
    <s v="SMI STEEL, INC."/>
    <s v="Na"/>
    <s v="OP"/>
    <n v="2008"/>
    <s v="101 50th ST S"/>
    <s v="Birmingham"/>
    <n v="99.940010344905772"/>
    <s v="CMC-Birmingham-AL"/>
    <s v="No SLT data; only TRI and EPA rule data."/>
    <s v="EPA RULE DATA "/>
    <s v="Agree"/>
    <m/>
    <m/>
    <m/>
    <m/>
    <x v="6"/>
    <s v="NO"/>
    <m/>
    <x v="0"/>
    <x v="0"/>
    <n v="86688614"/>
    <n v="7439976"/>
    <m/>
    <m/>
    <s v="EPA EAF  ICR data based on 2010 emissions testing and recorded steel production rates, resulting EF applied to 2009 steel production (Donna Lee Jones, EPA/OAQPS/SPPD)"/>
    <n v="166"/>
    <n v="10"/>
    <m/>
    <m/>
  </r>
  <r>
    <s v="01125"/>
    <s v="AL"/>
    <s v="Tuscaloosa"/>
    <s v="ADEM"/>
    <s v="1003711"/>
    <s v="0033"/>
    <s v="35404TSCLS1500H"/>
    <s v="Steel Mill"/>
    <s v="Electric Arc Furnaces"/>
    <n v="26"/>
    <s v="S|2005"/>
    <n v="6.0000000000000005E-2"/>
    <n v="46"/>
    <s v="Nucor Tuscaloosa"/>
    <s v="Na"/>
    <s v="OP"/>
    <n v="2008"/>
    <s v="1700 Holt Rd"/>
    <s v="Tuscaloosa"/>
    <s v=""/>
    <s v=" "/>
    <s v="SLT submitted Hg data. &gt;200% difference between EIS and TRI.  Request state review mercury value.  Are units (lbs) correct for mercury?  State Hg a lot lower in 2008 compared to 2005 than other pollutants reported for this process. "/>
    <s v="SLT 2008"/>
    <s v="Agree"/>
    <s v="email sent 10/21 by Lisa Cole:  For Nucor Tuscaloosa and Nucor Decatur, please use the EIS-SLT values"/>
    <m/>
    <m/>
    <m/>
    <x v="7"/>
    <s v="YES "/>
    <m/>
    <x v="1"/>
    <x v="1"/>
    <m/>
    <n v="7439976"/>
    <m/>
    <m/>
    <m/>
    <n v="0"/>
    <m/>
    <m/>
    <m/>
  </r>
  <r>
    <s v="05093"/>
    <s v="AR"/>
    <s v="Mississippi"/>
    <s v="ARDEQ"/>
    <s v="1008911"/>
    <s v="0509300202"/>
    <s v="72316NCRYM5929E"/>
    <s v="Steel Mill"/>
    <s v="Electric Arc Furnaces"/>
    <n v="7.6"/>
    <s v="S|2005"/>
    <n v="5.2341480459999987"/>
    <n v="238"/>
    <s v="NUCOR-YAMATO STEEL COMPANY-BLYTHEVILLE"/>
    <s v="Nucor-Yamato Steel Corporation"/>
    <s v="OP"/>
    <n v="2009"/>
    <s v="5929 EAST STATE HWY 18"/>
    <s v="BLYTHEVILLE"/>
    <s v=""/>
    <s v=" "/>
    <s v="SLT submitted Hg data. &gt;200% difference between EIS and TRI.  Not sure why lower.  2008  SLT Hg covers EAF processes"/>
    <s v="SLT 2008"/>
    <s v="Agree"/>
    <m/>
    <m/>
    <m/>
    <m/>
    <x v="8"/>
    <s v="YES "/>
    <m/>
    <x v="1"/>
    <x v="1"/>
    <s v=" "/>
    <n v="7439976"/>
    <s v=" "/>
    <s v=" "/>
    <m/>
    <n v="0"/>
    <m/>
    <s v="Note:  get 607  lbs =2426780*0.00025 if use avge emission factor"/>
    <m/>
  </r>
  <r>
    <s v="05067"/>
    <s v="AR"/>
    <s v="Jackson"/>
    <s v="ARDEQ"/>
    <s v="1083611"/>
    <s v="0506700033"/>
    <s v="72112RKNSSVANDY"/>
    <s v="Steel Mill"/>
    <s v="Electric Arc Furnaces"/>
    <n v="0.12820000000000001"/>
    <s v="T|2005"/>
    <m/>
    <n v="0.17469999999999999"/>
    <s v="ARKANSAS STEEL ASSOCIATES"/>
    <s v="Arkansas Steel Associates, LLC"/>
    <s v="OP"/>
    <n v="2008"/>
    <s v="2803 VAN DYKE ROAD"/>
    <s v="NEWPORT"/>
    <s v=""/>
    <s v=" "/>
    <s v="TRI data, but no SLT data"/>
    <s v="TRI 2008"/>
    <s v="Agree"/>
    <m/>
    <m/>
    <m/>
    <m/>
    <x v="9"/>
    <s v="NO"/>
    <m/>
    <x v="2"/>
    <x v="0"/>
    <n v="62204514"/>
    <n v="7439976"/>
    <s v="only 1 process described as EAF"/>
    <d v="2011-10-03T00:00:00"/>
    <s v="2008TRI; assigned to the only EAF SCC at the facility"/>
    <n v="53"/>
    <n v="2"/>
    <s v="Note:  get 83  lbs ==333457*0.00025 if use avge ef"/>
    <m/>
  </r>
  <r>
    <s v="05093"/>
    <s v="AR"/>
    <s v="Mississippi"/>
    <s v="ARDEQ"/>
    <s v="1084511"/>
    <n v="509300233"/>
    <s v="72315NCRST7301E"/>
    <s v="Steel Mill"/>
    <s v="Electric Arc Furnaces"/>
    <n v="246.95999999999998"/>
    <s v="T|2005"/>
    <m/>
    <n v="169.23"/>
    <s v="NUCOR CORPORATION-NUCOR STEEL ARKANSAS"/>
    <s v="Nucor Corporation"/>
    <s v="OP"/>
    <n v="2009"/>
    <s v="7301 EAST COUNTY ROAD 142"/>
    <s v="BLYTHEVILLE"/>
    <n v="304.527414170697"/>
    <s v="Nucor-Blytheville-AR"/>
    <s v="TRI data, but no SLT data"/>
    <s v="EPA RULE DATA "/>
    <s v="Agree"/>
    <s v="verified with facility"/>
    <m/>
    <m/>
    <m/>
    <x v="10"/>
    <s v="NO"/>
    <m/>
    <x v="0"/>
    <x v="0"/>
    <n v="58971614"/>
    <n v="7439976"/>
    <s v="only 1 process  with EAF SCC"/>
    <d v="2011-10-03T00:00:00"/>
    <s v="EPA EAF  ICR data based on 2010 emissions testing and recorded steel production rates, resulting EF applied to 2009 steel production (Donna Lee Jones, EPA/OAQPS/SPPD)"/>
    <n v="166"/>
    <n v="10"/>
    <s v="email 10/3/2011 to see if David Lyon agrees with my process assignment - replied 10/11/2001:  yes"/>
    <m/>
  </r>
  <r>
    <s v="17031"/>
    <s v="IL"/>
    <s v="Cook"/>
    <s v="ILEPA"/>
    <s v="1733111"/>
    <s v="031600ATP"/>
    <s v="60614FNKLS2011S"/>
    <s v="Steel Mill"/>
    <s v="Electric Arc Furnaces"/>
    <n v="29.323706000000001"/>
    <s v="R|2002"/>
    <n v="9.3600000000000003E-3"/>
    <m/>
    <s v="A Finkl &amp; Sons Co"/>
    <s v="Na"/>
    <s v="OP"/>
    <n v="2008"/>
    <s v="2011 N Southport Ave"/>
    <s v="Chicago"/>
    <s v=""/>
    <s v=" "/>
    <s v="SLT submitted Hg data, but it appears low- maybe only counting for combustion. No TRI data.  Does this facility have EAFs?"/>
    <s v="SLT 2008"/>
    <s v="Disagree"/>
    <s v="Used generated emission factor of 7.37e-5 lb/ton from Sterling and Keystone data.  2008 operating rate was 12.7848 tons/hr and 7200 hr/yr"/>
    <n v="6.7839999999999998"/>
    <m/>
    <m/>
    <x v="11"/>
    <s v="YES"/>
    <m/>
    <x v="1"/>
    <x v="1"/>
    <n v="44601614"/>
    <n v="7439976"/>
    <s v="From ILEPA:  Used generated emission factor of 7.37e-5 lb/ton from Sterling and Keystone TRI data.  2008 operating rate was 12.7848 tons/hr and 7200 hr/yr.  1 process with SCC=30400701"/>
    <d v="2011-10-03T00:00:00"/>
    <s v="ILEPA submitted via gateway"/>
    <n v="27"/>
    <m/>
    <m/>
    <m/>
  </r>
  <r>
    <s v="47093"/>
    <s v="TN"/>
    <s v="Knox"/>
    <s v="KC_DAQM"/>
    <s v="2898511"/>
    <s v="0568"/>
    <s v="37921FLRDS1919T"/>
    <s v="Steel Mill"/>
    <s v="Electric Arc Furnaces"/>
    <n v="218.18"/>
    <s v="T|2005"/>
    <m/>
    <n v="190.44"/>
    <s v="Gerdau Ameristeel"/>
    <s v="Gerdau Ameristeel"/>
    <s v="OP"/>
    <n v="2008"/>
    <s v="1919 Tennessee Avenue"/>
    <s v="Knoxville"/>
    <n v="74.721931584226937"/>
    <s v="Ger-Knoxville-TN"/>
    <s v="TRI data exceeds EPA Rule Data -- use EPA Rule data"/>
    <s v="EPA RULE DATA "/>
    <s v="Y"/>
    <s v="Hg data has not been reported to permitting authority."/>
    <m/>
    <m/>
    <m/>
    <x v="12"/>
    <s v="NO"/>
    <m/>
    <x v="0"/>
    <x v="0"/>
    <n v="11880614"/>
    <n v="7439976"/>
    <s v="EAF test data - SPPD representing 2009 throughput.  Assigned to the one process with SCC 30300908"/>
    <d v="2011-09-19T00:00:00"/>
    <s v="EPA EAF  ICR data based on 2010 emissions testing and recorded steel production rates, resulting EF applied to 2009 steel production (Donna Lee Jones, EPA/OAQPS/SPPD)"/>
    <n v="166"/>
    <n v="10"/>
    <m/>
    <m/>
  </r>
  <r>
    <s v="42129"/>
    <s v="PA"/>
    <s v="Westmoreland"/>
    <s v="PADEP"/>
    <s v="3188811"/>
    <s v="421290015"/>
    <s v=""/>
    <s v="Steel Mill"/>
    <s v="Electric Arc Furnaces"/>
    <n v="19.223317999999999"/>
    <s v="R|2002"/>
    <m/>
    <m/>
    <s v="LEHIGH SPECIALTY MELTING/LATROBE"/>
    <s v="SUNOCO PARTNERS MKT &amp; TERM LP"/>
    <s v="OP"/>
    <n v="2008"/>
    <s v="107 GERTRUDE ST"/>
    <s v="LATROBE"/>
    <s v=""/>
    <s v=" "/>
    <s v="No state  or TRI Hg data available.  Don't have any options for gapfilling but there appears to be EAFs.  Question:  Could SLT provide emissions/information or do we use NATA data?"/>
    <s v="NATA  "/>
    <s v="Agree"/>
    <s v="Verified; no Hg emissions were submitted to PA in 2008.  Please use EPA recommended NATA data."/>
    <m/>
    <m/>
    <m/>
    <x v="13"/>
    <s v="NO"/>
    <n v="14.28"/>
    <x v="3"/>
    <x v="0"/>
    <n v="14509914"/>
    <n v="7439976"/>
    <s v=" "/>
    <d v="2011-10-20T00:00:00"/>
    <s v="EPA 2010 EAF testing program avge EF of 2.48e-4 lbs/ton steel and 2008 throughput provided by PA"/>
    <n v="96"/>
    <n v="10"/>
    <m/>
    <m/>
  </r>
  <r>
    <s v="42003"/>
    <s v="PA"/>
    <s v="Allegheny"/>
    <s v="PAACHD"/>
    <s v="3819011"/>
    <s v="4200300358"/>
    <s v="15106NNLCT726BE"/>
    <s v="Steel Mill"/>
    <s v="Electric Arc Furnaces"/>
    <n v="11.403664000000001"/>
    <s v="R|2002"/>
    <m/>
    <m/>
    <s v="Union Electric Steel Corporation"/>
    <s v="Na"/>
    <s v="OP"/>
    <n v="2008"/>
    <s v="726 Bell Street"/>
    <s v="Carnegie"/>
    <s v=""/>
    <s v=" "/>
    <s v="No state  or TRI Hg data available.  Don't have any options for gapfilling but there appears to be EAFs.   Question:  Could SLT provide emissions/information or do we use NATA data?"/>
    <s v="NATA  "/>
    <s v="N"/>
    <s v="No EAFs, only natural gas combustion.  Use AP-42 Table 1.4-4, 0.00026 lb/mmcf"/>
    <m/>
    <m/>
    <m/>
    <x v="14"/>
    <s v="NO"/>
    <m/>
    <x v="4"/>
    <x v="1"/>
    <m/>
    <n v="7439976"/>
    <s v="no EAF"/>
    <d v="2011-10-03T00:00:00"/>
    <m/>
    <n v="0"/>
    <m/>
    <m/>
    <m/>
  </r>
  <r>
    <s v="48187"/>
    <s v="TX"/>
    <s v="Guadalupe"/>
    <s v="TXCEQ"/>
    <s v="3828811"/>
    <s v="1"/>
    <s v="78156STRCTPOBOX"/>
    <s v="Steel Mill"/>
    <s v="Electric Arc Furnaces"/>
    <n v="6.9999999999999982"/>
    <s v="S|2005"/>
    <n v="7"/>
    <n v="71"/>
    <s v="FURNACE &amp; STEEL MILL"/>
    <s v="STRUCTURAL METALS INC"/>
    <s v="OP"/>
    <n v="1980"/>
    <s v="STEEL MILL RD"/>
    <s v="SEGUIN"/>
    <n v="287.68556257306193"/>
    <s v="CMC-Seguin-TX"/>
    <s v="RECENT TEST DATA MUCH GREATER THAN SLT EMISSIONS.  "/>
    <s v="EPA RULE DATA "/>
    <s v="??"/>
    <s v=" per Addam Bullock Email to MSTRUM 10/27/2011:  Also, for the Seguin mill the company claims the 2010 testing is not representative of the 2008 operations.  The 2008 emissions were based on the best data available at that time.  So for this site I would recommend using the TRI emissions._x000a_"/>
    <n v="71"/>
    <m/>
    <m/>
    <x v="15"/>
    <m/>
    <n v="71"/>
    <x v="3"/>
    <x v="2"/>
    <n v="8371914"/>
    <n v="7439976"/>
    <m/>
    <m/>
    <s v="2008TRI--TCEQ chose TRI -- they contacted Seguin mill and the company claims the 2010 testing is not representative of the 2008 operations.  TCEQ chose the TRI data over their submission.  EPA apportioned to processes with SCC=30400701 based on PM2.5"/>
    <n v="250"/>
    <n v="2"/>
    <m/>
    <m/>
  </r>
  <r>
    <s v="48187"/>
    <s v="TX"/>
    <s v="Guadalupe"/>
    <s v="TXCEQ"/>
    <s v="3828811"/>
    <s v="1"/>
    <s v="78156STRCTPOBOX"/>
    <s v="Steel Mill"/>
    <s v="Electric Arc Furnaces"/>
    <n v="6.9999999999999982"/>
    <s v="S|2005"/>
    <n v="7"/>
    <n v="71"/>
    <s v="FURNACE &amp; STEEL MILL"/>
    <s v="STRUCTURAL METALS INC"/>
    <s v="OP"/>
    <n v="1980"/>
    <s v="STEEL MILL RD"/>
    <s v="SEGUIN"/>
    <n v="287.68556257306193"/>
    <s v="CMC-Seguin-TX"/>
    <s v="RECENT TEST DATA MUCH GREATER THAN SLT EMISSIONS.  "/>
    <s v="EPA RULE DATA "/>
    <s v="??"/>
    <s v=" per Addam Bullock Email to MSTRUM 10/27/2011:  Also, for the Seguin mill the company claims the 2010 testing is not representative of the 2008 operations.  The 2008 emissions were based on the best data available at that time.  So for this site I would recommend using the TRI emissions._x000a_"/>
    <n v="71"/>
    <m/>
    <m/>
    <x v="15"/>
    <m/>
    <n v="71"/>
    <x v="3"/>
    <x v="1"/>
    <n v="8372014"/>
    <n v="7439976"/>
    <m/>
    <m/>
    <s v="2008TRI--TCEQ chose TRI -- they contacted Seguin mill and the company claims the 2010 testing is not representative of the 2008 operations.  TCEQ chose the TRI data over their submission.  EPA apportioned to processes with SCC=30400701 based on PM2.5"/>
    <n v="250"/>
    <n v="2"/>
    <m/>
    <m/>
  </r>
  <r>
    <s v="48187"/>
    <s v="TX"/>
    <s v="Guadalupe"/>
    <s v="TXCEQ"/>
    <s v="3828811"/>
    <s v="1"/>
    <s v="78156STRCTPOBOX"/>
    <s v="Steel Mill"/>
    <s v="Electric Arc Furnaces"/>
    <n v="6.9999999999999982"/>
    <s v="S|2005"/>
    <n v="7"/>
    <n v="71"/>
    <s v="FURNACE &amp; STEEL MILL"/>
    <s v="STRUCTURAL METALS INC"/>
    <s v="OP"/>
    <n v="1980"/>
    <s v="STEEL MILL RD"/>
    <s v="SEGUIN"/>
    <n v="287.68556257306193"/>
    <s v="CMC-Seguin-TX"/>
    <s v="RECENT TEST DATA MUCH GREATER THAN SLT EMISSIONS.  "/>
    <s v="EPA RULE DATA "/>
    <s v="??"/>
    <s v=" per Addam Bullock Email to MSTRUM 10/27/2011:  Also, for the Seguin mill the company claims the 2010 testing is not representative of the 2008 operations.  The 2008 emissions were based on the best data available at that time.  So for this site I would recommend using the TRI emissions._x000a_"/>
    <n v="71"/>
    <m/>
    <m/>
    <x v="15"/>
    <m/>
    <n v="71"/>
    <x v="3"/>
    <x v="1"/>
    <n v="8372114"/>
    <n v="7439976"/>
    <m/>
    <m/>
    <s v="2008TRI--TCEQ chose TRI -- they contacted Seguin mill and the company claims the 2010 testing is not representative of the 2008 operations.  TCEQ chose the TRI data over their submission.  EPA apportioned to processes with SCC=30400701 based on PM2.5"/>
    <n v="250"/>
    <n v="2"/>
    <m/>
    <m/>
  </r>
  <r>
    <s v="48187"/>
    <s v="TX"/>
    <s v="Guadalupe"/>
    <s v="TXCEQ"/>
    <s v="3828811"/>
    <s v="1"/>
    <s v="78156STRCTPOBOX"/>
    <s v="Steel Mill"/>
    <s v="Electric Arc Furnaces"/>
    <n v="6.9999999999999982"/>
    <s v="S|2005"/>
    <n v="7"/>
    <n v="71"/>
    <s v="FURNACE &amp; STEEL MILL"/>
    <s v="STRUCTURAL METALS INC"/>
    <s v="OP"/>
    <n v="1980"/>
    <s v="STEEL MILL RD"/>
    <s v="SEGUIN"/>
    <n v="287.68556257306193"/>
    <s v="CMC-Seguin-TX"/>
    <s v="RECENT TEST DATA MUCH GREATER THAN SLT EMISSIONS.  "/>
    <s v="EPA RULE DATA "/>
    <s v="??"/>
    <s v=" per Addam Bullock Email to MSTRUM 10/27/2011:  Also, for the Seguin mill the company claims the 2010 testing is not representative of the 2008 operations.  The 2008 emissions were based on the best data available at that time.  So for this site I would recommend using the TRI emissions._x000a_"/>
    <n v="71"/>
    <m/>
    <m/>
    <x v="15"/>
    <m/>
    <n v="71"/>
    <x v="3"/>
    <x v="3"/>
    <n v="8372214"/>
    <n v="7439976"/>
    <m/>
    <m/>
    <s v="2008TRI--TCEQ chose TRI -- they contacted Seguin mill and the company claims the 2010 testing is not representative of the 2008 operations.  TCEQ chose the TRI data over their submission.  EPA apportioned to processes with SCC=30400701 based on PM2.5"/>
    <n v="250"/>
    <n v="2"/>
    <m/>
    <m/>
  </r>
  <r>
    <s v="48187"/>
    <s v="TX"/>
    <s v="Guadalupe"/>
    <s v="TXCEQ"/>
    <s v="3828811"/>
    <s v="1"/>
    <s v="78156STRCTPOBOX"/>
    <s v="Steel Mill"/>
    <s v="Electric Arc Furnaces"/>
    <n v="6.9999999999999982"/>
    <s v="S|2005"/>
    <n v="7"/>
    <n v="71"/>
    <s v="FURNACE &amp; STEEL MILL"/>
    <s v="STRUCTURAL METALS INC"/>
    <s v="OP"/>
    <n v="1980"/>
    <s v="STEEL MILL RD"/>
    <s v="SEGUIN"/>
    <n v="287.68556257306193"/>
    <s v="CMC-Seguin-TX"/>
    <s v="RECENT TEST DATA MUCH GREATER THAN SLT EMISSIONS.  "/>
    <s v="EPA RULE DATA "/>
    <s v="??"/>
    <s v=" per Addam Bullock Email to MSTRUM 10/27/2011:  Also, for the Seguin mill the company claims the 2010 testing is not representative of the 2008 operations.  The 2008 emissions were based on the best data available at that time.  So for this site I would recommend using the TRI emissions._x000a_"/>
    <n v="71"/>
    <m/>
    <m/>
    <x v="15"/>
    <m/>
    <n v="71"/>
    <x v="3"/>
    <x v="4"/>
    <n v="8372314"/>
    <n v="7439976"/>
    <m/>
    <m/>
    <s v="2008TRI--TCEQ chose TRI -- they contacted Seguin mill and the company claims the 2010 testing is not representative of the 2008 operations.  TCEQ chose the TRI data over their submission.  EPA apportioned to processes with SCC=30400701 based on PM2.5"/>
    <n v="250"/>
    <n v="2"/>
    <m/>
    <m/>
  </r>
  <r>
    <s v="48187"/>
    <s v="TX"/>
    <s v="Guadalupe"/>
    <s v="TXCEQ"/>
    <s v="3828811"/>
    <s v="1"/>
    <s v="78156STRCTPOBOX"/>
    <s v="Steel Mill"/>
    <s v="Electric Arc Furnaces"/>
    <n v="6.9999999999999982"/>
    <s v="S|2005"/>
    <n v="7"/>
    <n v="71"/>
    <s v="FURNACE &amp; STEEL MILL"/>
    <s v="STRUCTURAL METALS INC"/>
    <s v="OP"/>
    <n v="1980"/>
    <s v="STEEL MILL RD"/>
    <s v="SEGUIN"/>
    <n v="287.68556257306193"/>
    <s v="CMC-Seguin-TX"/>
    <s v="RECENT TEST DATA MUCH GREATER THAN SLT EMISSIONS.  "/>
    <s v="EPA RULE DATA "/>
    <s v="??"/>
    <s v=" per Addam Bullock Email to MSTRUM 10/27/2011:  Also, for the Seguin mill the company claims the 2010 testing is not representative of the 2008 operations.  The 2008 emissions were based on the best data available at that time.  So for this site I would recommend using the TRI emissions._x000a_"/>
    <n v="71"/>
    <m/>
    <m/>
    <x v="15"/>
    <m/>
    <n v="71"/>
    <x v="3"/>
    <x v="1"/>
    <n v="8372414"/>
    <n v="7439976"/>
    <m/>
    <m/>
    <s v="2008TRI--TCEQ chose TRI -- they contacted Seguin mill and the company claims the 2010 testing is not representative of the 2008 operations.  TCEQ chose the TRI data over their submission.  EPA apportioned to processes with SCC=30400701 based on PM2.5"/>
    <n v="250"/>
    <n v="2"/>
    <m/>
    <m/>
  </r>
  <r>
    <s v="48187"/>
    <s v="TX"/>
    <s v="Guadalupe"/>
    <s v="TXCEQ"/>
    <s v="3828811"/>
    <s v="1"/>
    <s v="78156STRCTPOBOX"/>
    <s v="Steel Mill"/>
    <s v="Electric Arc Furnaces"/>
    <n v="6.9999999999999982"/>
    <s v="S|2005"/>
    <n v="7"/>
    <n v="71"/>
    <s v="FURNACE &amp; STEEL MILL"/>
    <s v="STRUCTURAL METALS INC"/>
    <s v="OP"/>
    <n v="1980"/>
    <s v="STEEL MILL RD"/>
    <s v="SEGUIN"/>
    <n v="287.68556257306193"/>
    <s v="CMC-Seguin-TX"/>
    <s v="RECENT TEST DATA MUCH GREATER THAN SLT EMISSIONS.  "/>
    <s v="EPA RULE DATA "/>
    <s v="??"/>
    <s v=" per Addam Bullock Email to MSTRUM 10/27/2011:  Also, for the Seguin mill the company claims the 2010 testing is not representative of the 2008 operations.  The 2008 emissions were based on the best data available at that time.  So for this site I would recommend using the TRI emissions._x000a_"/>
    <n v="71"/>
    <m/>
    <m/>
    <x v="15"/>
    <m/>
    <n v="71"/>
    <x v="3"/>
    <x v="5"/>
    <n v="8372514"/>
    <n v="7439976"/>
    <m/>
    <m/>
    <s v="2008TRI--TCEQ chose TRI -- they contacted Seguin mill and the company claims the 2010 testing is not representative of the 2008 operations.  TCEQ chose the TRI data over their submission.  EPA apportioned to processes with SCC=30400701 based on PM2.5"/>
    <n v="250"/>
    <n v="2"/>
    <m/>
    <m/>
  </r>
  <r>
    <s v="48187"/>
    <s v="TX"/>
    <s v="Guadalupe"/>
    <s v="TXCEQ"/>
    <s v="3828811"/>
    <s v="1"/>
    <s v="78156STRCTPOBOX"/>
    <s v="Steel Mill"/>
    <s v="Electric Arc Furnaces"/>
    <n v="6.9999999999999982"/>
    <s v="S|2005"/>
    <n v="7"/>
    <n v="71"/>
    <s v="FURNACE &amp; STEEL MILL"/>
    <s v="STRUCTURAL METALS INC"/>
    <s v="OP"/>
    <n v="1980"/>
    <s v="STEEL MILL RD"/>
    <s v="SEGUIN"/>
    <n v="287.68556257306193"/>
    <s v="CMC-Seguin-TX"/>
    <s v="RECENT TEST DATA MUCH GREATER THAN SLT EMISSIONS.  "/>
    <s v="EPA RULE DATA "/>
    <s v="??"/>
    <s v=" per Addam Bullock Email to MSTRUM 10/27/2011:  Also, for the Seguin mill the company claims the 2010 testing is not representative of the 2008 operations.  The 2008 emissions were based on the best data available at that time.  So for this site I would recommend using the TRI emissions._x000a_"/>
    <n v="71"/>
    <m/>
    <m/>
    <x v="15"/>
    <m/>
    <n v="71"/>
    <x v="2"/>
    <x v="2"/>
    <n v="8371914"/>
    <n v="7439976"/>
    <m/>
    <m/>
    <s v="2008TRI; TCEQ chose TRI -- they contacted Seguin mill and the company claims the 2010 testing is not representative of the 2008 operations.  TCEQ chose the TRI data over their submission.  EPA apportioned to processes with SCC=30400701 based on PM2.5"/>
    <n v="250"/>
    <n v="2"/>
    <m/>
    <m/>
  </r>
  <r>
    <s v="48187"/>
    <s v="TX"/>
    <s v="Guadalupe"/>
    <s v="TXCEQ"/>
    <s v="3828811"/>
    <s v="1"/>
    <s v="78156STRCTPOBOX"/>
    <s v="Steel Mill"/>
    <s v="Electric Arc Furnaces"/>
    <n v="6.9999999999999982"/>
    <s v="S|2005"/>
    <n v="7"/>
    <n v="71"/>
    <s v="FURNACE &amp; STEEL MILL"/>
    <s v="STRUCTURAL METALS INC"/>
    <s v="OP"/>
    <n v="1980"/>
    <s v="STEEL MILL RD"/>
    <s v="SEGUIN"/>
    <n v="287.68556257306193"/>
    <s v="CMC-Seguin-TX"/>
    <s v="RECENT TEST DATA MUCH GREATER THAN SLT EMISSIONS.  "/>
    <s v="EPA RULE DATA "/>
    <s v="??"/>
    <s v=" per Addam Bullock Email to MSTRUM 10/27/2011:  Also, for the Seguin mill the company claims the 2010 testing is not representative of the 2008 operations.  The 2008 emissions were based on the best data available at that time.  So for this site I would recommend using the TRI emissions._x000a_"/>
    <n v="71"/>
    <m/>
    <m/>
    <x v="15"/>
    <m/>
    <n v="71"/>
    <x v="2"/>
    <x v="1"/>
    <n v="8372014"/>
    <n v="7439976"/>
    <m/>
    <m/>
    <s v="2008TRI; TCEQ chose TRI -- they contacted Seguin mill and the company claims the 2010 testing is not representative of the 2008 operations.  TCEQ chose the TRI data over their submission.  EPA apportioned to processes with SCC=30400701 based on PM2.5"/>
    <n v="250"/>
    <n v="2"/>
    <m/>
    <m/>
  </r>
  <r>
    <s v="48187"/>
    <s v="TX"/>
    <s v="Guadalupe"/>
    <s v="TXCEQ"/>
    <s v="3828811"/>
    <s v="1"/>
    <s v="78156STRCTPOBOX"/>
    <s v="Steel Mill"/>
    <s v="Electric Arc Furnaces"/>
    <n v="6.9999999999999982"/>
    <s v="S|2005"/>
    <n v="7"/>
    <n v="71"/>
    <s v="FURNACE &amp; STEEL MILL"/>
    <s v="STRUCTURAL METALS INC"/>
    <s v="OP"/>
    <n v="1980"/>
    <s v="STEEL MILL RD"/>
    <s v="SEGUIN"/>
    <n v="287.68556257306193"/>
    <s v="CMC-Seguin-TX"/>
    <s v="RECENT TEST DATA MUCH GREATER THAN SLT EMISSIONS.  "/>
    <s v="EPA RULE DATA "/>
    <s v="??"/>
    <s v=" per Addam Bullock Email to MSTRUM 10/27/2011:  Also, for the Seguin mill the company claims the 2010 testing is not representative of the 2008 operations.  The 2008 emissions were based on the best data available at that time.  So for this site I would recommend using the TRI emissions._x000a_"/>
    <n v="71"/>
    <m/>
    <m/>
    <x v="15"/>
    <m/>
    <n v="71"/>
    <x v="2"/>
    <x v="1"/>
    <n v="8372114"/>
    <n v="7439976"/>
    <m/>
    <m/>
    <s v="2008TRI; TCEQ chose TRI -- they contacted Seguin mill and the company claims the 2010 testing is not representative of the 2008 operations.  TCEQ chose the TRI data over their submission.  EPA apportioned to processes with SCC=30400701 based on PM2.5"/>
    <n v="250"/>
    <n v="2"/>
    <m/>
    <m/>
  </r>
  <r>
    <s v="48187"/>
    <s v="TX"/>
    <s v="Guadalupe"/>
    <s v="TXCEQ"/>
    <s v="3828811"/>
    <s v="1"/>
    <s v="78156STRCTPOBOX"/>
    <s v="Steel Mill"/>
    <s v="Electric Arc Furnaces"/>
    <n v="6.9999999999999982"/>
    <s v="S|2005"/>
    <n v="7"/>
    <n v="71"/>
    <s v="FURNACE &amp; STEEL MILL"/>
    <s v="STRUCTURAL METALS INC"/>
    <s v="OP"/>
    <n v="1980"/>
    <s v="STEEL MILL RD"/>
    <s v="SEGUIN"/>
    <n v="287.68556257306193"/>
    <s v="CMC-Seguin-TX"/>
    <s v="RECENT TEST DATA MUCH GREATER THAN SLT EMISSIONS.  "/>
    <s v="EPA RULE DATA "/>
    <s v="??"/>
    <s v=" per Addam Bullock Email to MSTRUM 10/27/2011:  Also, for the Seguin mill the company claims the 2010 testing is not representative of the 2008 operations.  The 2008 emissions were based on the best data available at that time.  So for this site I would recommend using the TRI emissions._x000a_"/>
    <n v="71"/>
    <m/>
    <m/>
    <x v="15"/>
    <m/>
    <n v="71"/>
    <x v="2"/>
    <x v="3"/>
    <n v="8372214"/>
    <n v="7439976"/>
    <m/>
    <m/>
    <s v="2008TRI; TCEQ chose TRI -- they contacted Seguin mill and the company claims the 2010 testing is not representative of the 2008 operations.  TCEQ chose the TRI data over their submission.  EPA apportioned to processes with SCC=30400701 based on PM2.5"/>
    <n v="250"/>
    <n v="2"/>
    <m/>
    <m/>
  </r>
  <r>
    <s v="48187"/>
    <s v="TX"/>
    <s v="Guadalupe"/>
    <s v="TXCEQ"/>
    <s v="3828811"/>
    <s v="1"/>
    <s v="78156STRCTPOBOX"/>
    <s v="Steel Mill"/>
    <s v="Electric Arc Furnaces"/>
    <n v="6.9999999999999982"/>
    <s v="S|2005"/>
    <n v="7"/>
    <n v="71"/>
    <s v="FURNACE &amp; STEEL MILL"/>
    <s v="STRUCTURAL METALS INC"/>
    <s v="OP"/>
    <n v="1980"/>
    <s v="STEEL MILL RD"/>
    <s v="SEGUIN"/>
    <n v="287.68556257306193"/>
    <s v="CMC-Seguin-TX"/>
    <s v="RECENT TEST DATA MUCH GREATER THAN SLT EMISSIONS.  "/>
    <s v="EPA RULE DATA "/>
    <s v="??"/>
    <s v=" per Addam Bullock Email to MSTRUM 10/27/2011:  Also, for the Seguin mill the company claims the 2010 testing is not representative of the 2008 operations.  The 2008 emissions were based on the best data available at that time.  So for this site I would recommend using the TRI emissions._x000a_"/>
    <n v="71"/>
    <m/>
    <m/>
    <x v="15"/>
    <m/>
    <n v="71"/>
    <x v="2"/>
    <x v="4"/>
    <n v="8372314"/>
    <n v="7439976"/>
    <m/>
    <m/>
    <s v="2008TRI; TCEQ chose TRI -- they contacted Seguin mill and the company claims the 2010 testing is not representative of the 2008 operations.  TCEQ chose the TRI data over their submission.  EPA apportioned to processes with SCC=30400701 based on PM2.5"/>
    <n v="250"/>
    <n v="2"/>
    <m/>
    <m/>
  </r>
  <r>
    <s v="48187"/>
    <s v="TX"/>
    <s v="Guadalupe"/>
    <s v="TXCEQ"/>
    <s v="3828811"/>
    <s v="1"/>
    <s v="78156STRCTPOBOX"/>
    <s v="Steel Mill"/>
    <s v="Electric Arc Furnaces"/>
    <n v="6.9999999999999982"/>
    <s v="S|2005"/>
    <n v="7"/>
    <n v="71"/>
    <s v="FURNACE &amp; STEEL MILL"/>
    <s v="STRUCTURAL METALS INC"/>
    <s v="OP"/>
    <n v="1980"/>
    <s v="STEEL MILL RD"/>
    <s v="SEGUIN"/>
    <n v="287.68556257306193"/>
    <s v="CMC-Seguin-TX"/>
    <s v="RECENT TEST DATA MUCH GREATER THAN SLT EMISSIONS.  "/>
    <s v="EPA RULE DATA "/>
    <s v="??"/>
    <s v=" per Addam Bullock Email to MSTRUM 10/27/2011:  Also, for the Seguin mill the company claims the 2010 testing is not representative of the 2008 operations.  The 2008 emissions were based on the best data available at that time.  So for this site I would recommend using the TRI emissions._x000a_"/>
    <n v="71"/>
    <m/>
    <m/>
    <x v="15"/>
    <m/>
    <n v="71"/>
    <x v="2"/>
    <x v="1"/>
    <n v="8372414"/>
    <n v="7439976"/>
    <m/>
    <m/>
    <s v="2008TRI; TCEQ chose TRI -- they contacted Seguin mill and the company claims the 2010 testing is not representative of the 2008 operations.  TCEQ chose the TRI data over their submission.  EPA apportioned to processes with SCC=30400701 based on PM2.5"/>
    <n v="250"/>
    <n v="2"/>
    <m/>
    <m/>
  </r>
  <r>
    <s v="48187"/>
    <s v="TX"/>
    <s v="Guadalupe"/>
    <s v="TXCEQ"/>
    <s v="3828811"/>
    <s v="1"/>
    <s v="78156STRCTPOBOX"/>
    <s v="Steel Mill"/>
    <s v="Electric Arc Furnaces"/>
    <n v="6.9999999999999982"/>
    <s v="S|2005"/>
    <n v="7"/>
    <n v="71"/>
    <s v="FURNACE &amp; STEEL MILL"/>
    <s v="STRUCTURAL METALS INC"/>
    <s v="OP"/>
    <n v="1980"/>
    <s v="STEEL MILL RD"/>
    <s v="SEGUIN"/>
    <n v="287.68556257306193"/>
    <s v="CMC-Seguin-TX"/>
    <s v="RECENT TEST DATA MUCH GREATER THAN SLT EMISSIONS.  "/>
    <s v="EPA RULE DATA "/>
    <s v="??"/>
    <s v=" per Addam Bullock Email to MSTRUM 10/27/2011:  Also, for the Seguin mill the company claims the 2010 testing is not representative of the 2008 operations.  The 2008 emissions were based on the best data available at that time.  So for this site I would recommend using the TRI emissions._x000a_"/>
    <n v="71"/>
    <m/>
    <m/>
    <x v="15"/>
    <m/>
    <n v="71"/>
    <x v="2"/>
    <x v="5"/>
    <n v="8372514"/>
    <n v="7439976"/>
    <m/>
    <m/>
    <s v="2008TRI; TCEQ chose TRI -- they contacted Seguin mill and the company claims the 2010 testing is not representative of the 2008 operations.  TCEQ chose the TRI data over their submission.  EPA apportioned to processes with SCC=30400701 based on PM2.5"/>
    <n v="250"/>
    <n v="2"/>
    <m/>
    <m/>
  </r>
  <r>
    <s v="48187"/>
    <s v="TX"/>
    <s v="Guadalupe"/>
    <s v="TXCEQ"/>
    <s v="3828811"/>
    <s v="1"/>
    <s v="78156STRCTPOBOX"/>
    <s v="Steel Mill"/>
    <s v="Electric Arc Furnaces"/>
    <n v="6.9999999999999982"/>
    <s v="S|2005"/>
    <n v="7"/>
    <n v="71"/>
    <s v="FURNACE &amp; STEEL MILL"/>
    <s v="STRUCTURAL METALS INC"/>
    <s v="OP"/>
    <n v="1980"/>
    <s v="STEEL MILL RD"/>
    <s v="SEGUIN"/>
    <n v="287.68556257306193"/>
    <s v="CMC-Seguin-TX"/>
    <s v="RECENT TEST DATA MUCH GREATER THAN SLT EMISSIONS.  "/>
    <s v="EPA RULE DATA "/>
    <s v="??"/>
    <s v=" per Addam Bullock Email to MSTRUM 10/27/2011:  Also, for the Seguin mill the company claims the 2010 testing is not representative of the 2008 operations.  The 2008 emissions were based on the best data available at that time.  So for this site I would recommend using the TRI emissions._x000a_"/>
    <n v="71"/>
    <m/>
    <m/>
    <x v="15"/>
    <m/>
    <n v="71"/>
    <x v="0"/>
    <x v="2"/>
    <n v="8371914"/>
    <n v="7439976"/>
    <m/>
    <m/>
    <s v="EPA EAF ICR data based on 2010 emissions testing and recorded steel production rates, resulting EF applied to 2009 steel production (Donna Lee Jones, EPA/OAQPS/SPPD)-apportioned to processes with SCC=30400701 based on PM2.5"/>
    <n v="223"/>
    <n v="10"/>
    <m/>
    <m/>
  </r>
  <r>
    <s v="48187"/>
    <s v="TX"/>
    <s v="Guadalupe"/>
    <s v="TXCEQ"/>
    <s v="3828811"/>
    <s v="1"/>
    <s v="78156STRCTPOBOX"/>
    <s v="Steel Mill"/>
    <s v="Electric Arc Furnaces"/>
    <n v="6.9999999999999982"/>
    <s v="S|2005"/>
    <n v="7"/>
    <n v="71"/>
    <s v="FURNACE &amp; STEEL MILL"/>
    <s v="STRUCTURAL METALS INC"/>
    <s v="OP"/>
    <n v="1980"/>
    <s v="STEEL MILL RD"/>
    <s v="SEGUIN"/>
    <n v="287.68556257306193"/>
    <s v="CMC-Seguin-TX"/>
    <s v="RECENT TEST DATA MUCH GREATER THAN SLT EMISSIONS.  "/>
    <s v="EPA RULE DATA "/>
    <s v="??"/>
    <s v=" per Addam Bullock Email to MSTRUM 10/27/2011:  Also, for the Seguin mill the company claims the 2010 testing is not representative of the 2008 operations.  The 2008 emissions were based on the best data available at that time.  So for this site I would recommend using the TRI emissions._x000a_"/>
    <n v="71"/>
    <m/>
    <m/>
    <x v="15"/>
    <m/>
    <n v="71"/>
    <x v="0"/>
    <x v="1"/>
    <n v="8372014"/>
    <n v="7439976"/>
    <m/>
    <m/>
    <s v="EPA EAF ICR data based on 2010 emissions testing and recorded steel production rates, resulting EF applied to 2009 steel production (Donna Lee Jones, EPA/OAQPS/SPPD)-apportioned to processes with SCC=30400701 based on PM2.5"/>
    <n v="223"/>
    <n v="10"/>
    <m/>
    <m/>
  </r>
  <r>
    <s v="48187"/>
    <s v="TX"/>
    <s v="Guadalupe"/>
    <s v="TXCEQ"/>
    <s v="3828811"/>
    <s v="1"/>
    <s v="78156STRCTPOBOX"/>
    <s v="Steel Mill"/>
    <s v="Electric Arc Furnaces"/>
    <n v="6.9999999999999982"/>
    <s v="S|2005"/>
    <n v="7"/>
    <n v="71"/>
    <s v="FURNACE &amp; STEEL MILL"/>
    <s v="STRUCTURAL METALS INC"/>
    <s v="OP"/>
    <n v="1980"/>
    <s v="STEEL MILL RD"/>
    <s v="SEGUIN"/>
    <n v="287.68556257306193"/>
    <s v="CMC-Seguin-TX"/>
    <s v="RECENT TEST DATA MUCH GREATER THAN SLT EMISSIONS.  "/>
    <s v="EPA RULE DATA "/>
    <s v="??"/>
    <s v=" per Addam Bullock Email to MSTRUM 10/27/2011:  Also, for the Seguin mill the company claims the 2010 testing is not representative of the 2008 operations.  The 2008 emissions were based on the best data available at that time.  So for this site I would recommend using the TRI emissions._x000a_"/>
    <n v="71"/>
    <m/>
    <m/>
    <x v="15"/>
    <m/>
    <n v="71"/>
    <x v="0"/>
    <x v="1"/>
    <n v="8372114"/>
    <n v="7439976"/>
    <m/>
    <m/>
    <s v="EPA EAF ICR data based on 2010 emissions testing and recorded steel production rates, resulting EF applied to 2009 steel production (Donna Lee Jones, EPA/OAQPS/SPPD)-apportioned to processes with SCC=30400701 based on PM2.5"/>
    <n v="223"/>
    <n v="10"/>
    <m/>
    <m/>
  </r>
  <r>
    <s v="48187"/>
    <s v="TX"/>
    <s v="Guadalupe"/>
    <s v="TXCEQ"/>
    <s v="3828811"/>
    <s v="1"/>
    <s v="78156STRCTPOBOX"/>
    <s v="Steel Mill"/>
    <s v="Electric Arc Furnaces"/>
    <n v="6.9999999999999982"/>
    <s v="S|2005"/>
    <n v="7"/>
    <n v="71"/>
    <s v="FURNACE &amp; STEEL MILL"/>
    <s v="STRUCTURAL METALS INC"/>
    <s v="OP"/>
    <n v="1980"/>
    <s v="STEEL MILL RD"/>
    <s v="SEGUIN"/>
    <n v="287.68556257306193"/>
    <s v="CMC-Seguin-TX"/>
    <s v="RECENT TEST DATA MUCH GREATER THAN SLT EMISSIONS.  "/>
    <s v="EPA RULE DATA "/>
    <s v="??"/>
    <s v=" per Addam Bullock Email to MSTRUM 10/27/2011:  Also, for the Seguin mill the company claims the 2010 testing is not representative of the 2008 operations.  The 2008 emissions were based on the best data available at that time.  So for this site I would recommend using the TRI emissions._x000a_"/>
    <n v="71"/>
    <m/>
    <m/>
    <x v="15"/>
    <m/>
    <n v="71"/>
    <x v="0"/>
    <x v="3"/>
    <n v="8372214"/>
    <n v="7439976"/>
    <m/>
    <m/>
    <s v="EPA EAF ICR data based on 2010 emissions testing and recorded steel production rates, resulting EF applied to 2009 steel production (Donna Lee Jones, EPA/OAQPS/SPPD)-apportioned to processes with SCC=30400701 based on PM2.5"/>
    <n v="223"/>
    <n v="10"/>
    <m/>
    <m/>
  </r>
  <r>
    <s v="48187"/>
    <s v="TX"/>
    <s v="Guadalupe"/>
    <s v="TXCEQ"/>
    <s v="3828811"/>
    <s v="1"/>
    <s v="78156STRCTPOBOX"/>
    <s v="Steel Mill"/>
    <s v="Electric Arc Furnaces"/>
    <n v="6.9999999999999982"/>
    <s v="S|2005"/>
    <n v="7"/>
    <n v="71"/>
    <s v="FURNACE &amp; STEEL MILL"/>
    <s v="STRUCTURAL METALS INC"/>
    <s v="OP"/>
    <n v="1980"/>
    <s v="STEEL MILL RD"/>
    <s v="SEGUIN"/>
    <n v="287.68556257306193"/>
    <s v="CMC-Seguin-TX"/>
    <s v="RECENT TEST DATA MUCH GREATER THAN SLT EMISSIONS.  "/>
    <s v="EPA RULE DATA "/>
    <s v="??"/>
    <s v=" per Addam Bullock Email to MSTRUM 10/27/2011:  Also, for the Seguin mill the company claims the 2010 testing is not representative of the 2008 operations.  The 2008 emissions were based on the best data available at that time.  So for this site I would recommend using the TRI emissions._x000a_"/>
    <n v="71"/>
    <m/>
    <m/>
    <x v="15"/>
    <m/>
    <n v="71"/>
    <x v="0"/>
    <x v="4"/>
    <n v="8372314"/>
    <n v="7439976"/>
    <m/>
    <m/>
    <s v="EPA EAF ICR data based on 2010 emissions testing and recorded steel production rates, resulting EF applied to 2009 steel production (Donna Lee Jones, EPA/OAQPS/SPPD)-apportioned to processes with SCC=30400701 based on PM2.5"/>
    <n v="223"/>
    <n v="10"/>
    <m/>
    <m/>
  </r>
  <r>
    <s v="48187"/>
    <s v="TX"/>
    <s v="Guadalupe"/>
    <s v="TXCEQ"/>
    <s v="3828811"/>
    <s v="1"/>
    <s v="78156STRCTPOBOX"/>
    <s v="Steel Mill"/>
    <s v="Electric Arc Furnaces"/>
    <n v="6.9999999999999982"/>
    <s v="S|2005"/>
    <n v="7"/>
    <n v="71"/>
    <s v="FURNACE &amp; STEEL MILL"/>
    <s v="STRUCTURAL METALS INC"/>
    <s v="OP"/>
    <n v="1980"/>
    <s v="STEEL MILL RD"/>
    <s v="SEGUIN"/>
    <n v="287.68556257306193"/>
    <s v="CMC-Seguin-TX"/>
    <s v="RECENT TEST DATA MUCH GREATER THAN SLT EMISSIONS.  "/>
    <s v="EPA RULE DATA "/>
    <s v="??"/>
    <s v=" per Addam Bullock Email to MSTRUM 10/27/2011:  Also, for the Seguin mill the company claims the 2010 testing is not representative of the 2008 operations.  The 2008 emissions were based on the best data available at that time.  So for this site I would recommend using the TRI emissions._x000a_"/>
    <n v="71"/>
    <m/>
    <m/>
    <x v="15"/>
    <m/>
    <n v="71"/>
    <x v="0"/>
    <x v="1"/>
    <n v="8372414"/>
    <n v="7439976"/>
    <m/>
    <m/>
    <s v="EPA EAF ICR data based on 2010 emissions testing and recorded steel production rates, resulting EF applied to 2009 steel production (Donna Lee Jones, EPA/OAQPS/SPPD)-apportioned to processes with SCC=30400701 based on PM2.5"/>
    <n v="223"/>
    <n v="10"/>
    <m/>
    <m/>
  </r>
  <r>
    <s v="48187"/>
    <s v="TX"/>
    <s v="Guadalupe"/>
    <s v="TXCEQ"/>
    <s v="3828811"/>
    <s v="1"/>
    <s v="78156STRCTPOBOX"/>
    <s v="Steel Mill"/>
    <s v="Electric Arc Furnaces"/>
    <n v="6.9999999999999982"/>
    <s v="S|2005"/>
    <n v="7"/>
    <n v="71"/>
    <s v="FURNACE &amp; STEEL MILL"/>
    <s v="STRUCTURAL METALS INC"/>
    <s v="OP"/>
    <n v="1980"/>
    <s v="STEEL MILL RD"/>
    <s v="SEGUIN"/>
    <n v="287.68556257306193"/>
    <s v="CMC-Seguin-TX"/>
    <s v="RECENT TEST DATA MUCH GREATER THAN SLT EMISSIONS.  "/>
    <s v="EPA RULE DATA "/>
    <s v="??"/>
    <s v=" per Addam Bullock Email to MSTRUM 10/27/2011:  Also, for the Seguin mill the company claims the 2010 testing is not representative of the 2008 operations.  The 2008 emissions were based on the best data available at that time.  So for this site I would recommend using the TRI emissions._x000a_"/>
    <n v="71"/>
    <m/>
    <m/>
    <x v="15"/>
    <m/>
    <n v="71"/>
    <x v="0"/>
    <x v="5"/>
    <n v="8372514"/>
    <n v="7439976"/>
    <m/>
    <m/>
    <s v="EPA EAF ICR data based on 2010 emissions testing and recorded steel production rates, resulting EF applied to 2009 steel production (Donna Lee Jones, EPA/OAQPS/SPPD)-apportioned to processes with SCC=30400701 based on PM2.5"/>
    <n v="223"/>
    <n v="10"/>
    <m/>
    <m/>
  </r>
  <r>
    <s v="42019"/>
    <s v="PA"/>
    <s v="Butler"/>
    <s v="PADEP"/>
    <s v="3892811"/>
    <s v="420190007"/>
    <s v="16003RMCDVROUTE"/>
    <s v="Steel Mill"/>
    <s v="Electric Arc Furnaces"/>
    <n v="315.29872140000003"/>
    <s v="R|2002"/>
    <n v="61.199999999999996"/>
    <n v="42.620000000000005"/>
    <s v="AK STEEL CORP/BUTLER WORKS"/>
    <s v="AK STEEL CORP"/>
    <s v="OP"/>
    <n v="2008"/>
    <s v="1 ARMCO DR"/>
    <s v="Butler"/>
    <n v="225"/>
    <s v="AKS-Butler-PA (see 2nd TAB-major sources)"/>
    <s v="RECENT TEST DATA MUCH GREATER THAN SLT EMISSIONS.  "/>
    <s v="EPA RULE DATA "/>
    <s v="Agree"/>
    <s v="Facility is in process of revising their Hg emissions; no data is availble to date. Please use EPA  recommended EPA Rule Data."/>
    <n v="227.59514999999999"/>
    <m/>
    <m/>
    <x v="16"/>
    <s v="NO"/>
    <n v="227.6"/>
    <x v="3"/>
    <x v="6"/>
    <n v="13977514"/>
    <n v="7439976"/>
    <m/>
    <m/>
    <s v="based on 2010 testing as part of EPA EAF ICR and PA-supplied 2008 throughput; Hg EF: 0.000225 lbs/ton of steel; apportioned to processes by PA data on thoughput (tons steel) for each of 3 EAFS"/>
    <n v="192"/>
    <n v="10"/>
    <m/>
    <m/>
  </r>
  <r>
    <s v="42019"/>
    <s v="PA"/>
    <s v="Butler"/>
    <s v="PADEP"/>
    <s v="3892811"/>
    <s v="420190007"/>
    <s v="16003RMCDVROUTE"/>
    <s v="Steel Mill"/>
    <s v="Electric Arc Furnaces"/>
    <n v="315.29872140000003"/>
    <s v="R|2002"/>
    <n v="61.199999999999996"/>
    <n v="42.620000000000005"/>
    <s v="AK STEEL CORP/BUTLER WORKS"/>
    <s v="AK STEEL CORP"/>
    <s v="OP"/>
    <n v="2008"/>
    <s v="1 ARMCO DR"/>
    <s v="Butler"/>
    <n v="225"/>
    <s v="AKS-Butler-PA (see 2nd TAB-major sources)"/>
    <s v="RECENT TEST DATA MUCH GREATER THAN SLT EMISSIONS.  "/>
    <s v="EPA RULE DATA "/>
    <s v="Agree"/>
    <s v="Facility is in process of revising their Hg emissions; no data is availble to date. Please use EPA  recommended EPA Rule Data."/>
    <n v="227.59514999999999"/>
    <m/>
    <m/>
    <x v="16"/>
    <s v="NO"/>
    <n v="227.6"/>
    <x v="3"/>
    <x v="7"/>
    <n v="13977214"/>
    <n v="7439976"/>
    <m/>
    <m/>
    <s v="based on 2010 testing as part of EPA EAF ICR and PA-supplied 2008 throughput; Hg EF: 0.000225 lbs/ton of steel; apportioned to processes by PA data on thoughput (tons steel) for each of 3 EAFS"/>
    <n v="192"/>
    <n v="10"/>
    <m/>
    <m/>
  </r>
  <r>
    <s v="42019"/>
    <s v="PA"/>
    <s v="Butler"/>
    <s v="PADEP"/>
    <s v="3892811"/>
    <s v="420190007"/>
    <s v="16003RMCDVROUTE"/>
    <s v="Steel Mill"/>
    <s v="Electric Arc Furnaces"/>
    <n v="315.29872140000003"/>
    <s v="R|2002"/>
    <n v="61.199999999999996"/>
    <n v="42.620000000000005"/>
    <s v="AK STEEL CORP/BUTLER WORKS"/>
    <s v="AK STEEL CORP"/>
    <s v="OP"/>
    <n v="2008"/>
    <s v="1 ARMCO DR"/>
    <s v="Butler"/>
    <n v="225"/>
    <s v="AKS-Butler-PA (see 2nd TAB-major sources)"/>
    <s v="RECENT TEST DATA MUCH GREATER THAN SLT EMISSIONS.  "/>
    <s v="EPA RULE DATA "/>
    <s v="Agree"/>
    <s v="Facility is in process of revising their Hg emissions; no data is availble to date. Please use EPA  recommended EPA Rule Data."/>
    <n v="227.59514999999999"/>
    <m/>
    <m/>
    <x v="16"/>
    <s v="NO"/>
    <n v="227.6"/>
    <x v="3"/>
    <x v="8"/>
    <n v="17182414"/>
    <n v="7439976"/>
    <m/>
    <m/>
    <s v="based on 2010 testing as part of EPA EAF ICR and PA-supplied 2008 throughput; Hg EF: 0.000225 lbs/ton of steel; apportioned to processes by PA data on thoughput (tons steel) for each of 3 EAFS"/>
    <n v="192"/>
    <n v="10"/>
    <m/>
    <m/>
  </r>
  <r>
    <s v="18089"/>
    <s v="IN"/>
    <s v="Lake"/>
    <s v="INDEM"/>
    <s v="3987411"/>
    <s v="00369"/>
    <s v="46312NDNHR3210W"/>
    <s v="Steel Mill"/>
    <s v="Electric Arc Furnaces"/>
    <n v="162.90947599999998"/>
    <s v="N|2002"/>
    <m/>
    <n v="103.2"/>
    <s v="Oil Technology  Inc  - Ispat Steel Plt#2"/>
    <s v="Na"/>
    <s v="OP"/>
    <n v="2008"/>
    <s v="3210 Watling St"/>
    <s v="East Chicago"/>
    <s v=""/>
    <s v=" "/>
    <s v="Have only 2008 TRI data available"/>
    <s v="TRI 2008"/>
    <s v="Disagree - wrong TRI source and value - see comment. Use TRI or EST "/>
    <s v="2008 TRI AIR EMISSIONS = Should be 50 LBS (the amount shown in column M is for the Indiana Harbor coke plant NOT the ArcelorMittal iron and steel plant).  EIS facility name should be ArcelorMittal USA.  and Agency ID# 00316.  Estimate is 22 LBS using state EF and 2008 FPRT."/>
    <s v="22 LBS"/>
    <s v="170"/>
    <s v="03"/>
    <x v="17"/>
    <s v="NO"/>
    <n v="22"/>
    <x v="3"/>
    <x v="0"/>
    <s v="124171614  "/>
    <n v="7439976"/>
    <s v="IDEM provided"/>
    <d v="2011-10-13T00:00:00"/>
    <s v="INDEM-computed for EAF based on state EF and 2008 Fuel Process Rate (FPRT) (Throughput)."/>
    <n v="88"/>
    <n v="9"/>
    <m/>
    <s v="EIS id for this record was incorrect per state comments and it is fixed in column AC"/>
  </r>
  <r>
    <s v="47113"/>
    <s v="TN"/>
    <s v="Madison"/>
    <s v="TNDEC"/>
    <s v="4014511"/>
    <s v="0189"/>
    <s v="38305FLRDSUSHIG"/>
    <s v="Steel Mill"/>
    <s v="Electric Arc Furnaces"/>
    <n v="1"/>
    <s v="T|2005"/>
    <m/>
    <n v="0.44"/>
    <s v="Gerdau Ameristeel"/>
    <s v="Na"/>
    <s v="OP"/>
    <n v="2008"/>
    <s v="801 GERDAU AMERISTEEL RD"/>
    <s v="JACKSON"/>
    <n v="137.52508089854558"/>
    <s v="Gerdau-Jackson-TN"/>
    <s v="EPA Rule data (based on emission testing)  takes precedence over TRI"/>
    <s v="EPA RULE DATA "/>
    <s v="Agree"/>
    <s v="Angela Pitcock  called 10/25/2011.  "/>
    <m/>
    <m/>
    <m/>
    <x v="18"/>
    <m/>
    <s v=" "/>
    <x v="0"/>
    <x v="9"/>
    <n v="11188014"/>
    <n v="7439976"/>
    <m/>
    <m/>
    <s v="EPA EAF  ICR data based on 2010 emissions testing and recorded steel production rates, resulting EF applied to 2009 steel production (Donna Lee Jones, EPA/OAQPS/SPPD).   Apportioned to EAF processes based on Pb"/>
    <n v="210"/>
    <n v="10"/>
    <m/>
    <m/>
  </r>
  <r>
    <s v="47113"/>
    <s v="TN"/>
    <s v="Madison"/>
    <s v="TNDEC"/>
    <s v="4014511"/>
    <s v="0189"/>
    <s v="38305FLRDSUSHIG"/>
    <s v="Steel Mill"/>
    <s v="Electric Arc Furnaces"/>
    <n v="1"/>
    <s v="T|2005"/>
    <m/>
    <n v="0.44"/>
    <s v="Gerdau Ameristeel"/>
    <s v="Na"/>
    <s v="OP"/>
    <n v="2008"/>
    <s v="801 GERDAU AMERISTEEL RD"/>
    <s v="JACKSON"/>
    <n v="137.52508089854558"/>
    <s v="Gerdau-Jackson-TN"/>
    <s v="EPA Rule data (based on emission testing)  takes precedence over TRI"/>
    <s v="EPA RULE DATA "/>
    <s v="Agree"/>
    <s v="Angela Pitcock  called 10/25/2011.  "/>
    <m/>
    <m/>
    <m/>
    <x v="18"/>
    <m/>
    <s v=" "/>
    <x v="0"/>
    <x v="10"/>
    <n v="11188214"/>
    <n v="7439976"/>
    <m/>
    <m/>
    <s v="EPA EAF  ICR data based on 2010 emissions testing and recorded steel production rates, resulting EF applied to 2009 steel production (Donna Lee Jones, EPA/OAQPS/SPPD).   Apportioned to EAF processes based on Pb"/>
    <n v="210"/>
    <n v="10"/>
    <m/>
    <m/>
  </r>
  <r>
    <s v="17195"/>
    <s v="IL"/>
    <s v="Whiteside"/>
    <s v="ILEPA"/>
    <s v="4097111"/>
    <s v="195818AAI"/>
    <s v="61081STRLN101AV"/>
    <s v=""/>
    <s v="Electric Arc Furnaces"/>
    <m/>
    <s v=" "/>
    <n v="8.2110840000000004E-3"/>
    <n v="44"/>
    <s v="Sterling Steel Co LLC"/>
    <s v="Na"/>
    <s v="OP"/>
    <n v="2008"/>
    <s v="101 Avenue K"/>
    <s v="Sterling"/>
    <s v=""/>
    <s v=" "/>
    <s v="SLT submitted Hg data for combustion but not EAF.  Gapfill EIS process id=43744714 ( SCC=30300908 ) unit id=36027013   "/>
    <s v="TRI 2008"/>
    <s v="Agree, use 2008 TRI"/>
    <s v="2008 operating rate was 254.86 tons/hr and 2344 hr/yr."/>
    <m/>
    <m/>
    <m/>
    <x v="19"/>
    <s v="NO"/>
    <m/>
    <x v="2"/>
    <x v="0"/>
    <n v="43744714"/>
    <n v="7439976"/>
    <s v="from Strum:  TRI 2008, 1 EAF process, SCC=30300908 "/>
    <d v="2011-09-19T00:00:00"/>
    <s v="2008TRI; assigned to only process with EAF SCC"/>
    <n v="46"/>
    <n v="2"/>
    <m/>
    <m/>
  </r>
  <r>
    <s v="42129"/>
    <s v="PA"/>
    <s v="Westmoreland"/>
    <s v="PADEP"/>
    <s v="4104211"/>
    <s v="421290017"/>
    <s v="15650LTRBS2626L"/>
    <s v="Steel Mill"/>
    <s v="Electric Arc Furnaces"/>
    <n v="0.35"/>
    <s v="T|2005"/>
    <m/>
    <n v="0.34"/>
    <s v="LATROBE SPECIALTY STEEL/LATROBE PLT"/>
    <s v="LATROBE STEEL CO D/B/A LATROBE SPECIALTY STEEL CO"/>
    <s v="OP"/>
    <n v="2008"/>
    <s v="2626 LIGONIER ST"/>
    <s v="LATROBE"/>
    <s v=""/>
    <s v=" "/>
    <s v="Use TRI data for the EAF processes"/>
    <s v="TRI 2008"/>
    <s v="Agree"/>
    <s v="Verified; no Hg emissions were submitted to PA in 2008.  Please use EPA recommended TRI data."/>
    <m/>
    <m/>
    <m/>
    <x v="20"/>
    <s v="NO"/>
    <n v="12.42"/>
    <x v="3"/>
    <x v="0"/>
    <n v="14507814"/>
    <n v="7439976"/>
    <m/>
    <d v="2011-10-20T00:00:00"/>
    <s v="Used EPA EAF 2010 testing program avge EF of 2.48e-4 lbs/ton steel and 2008 throughput provided by PA"/>
    <n v="101"/>
    <n v="13"/>
    <m/>
    <m/>
  </r>
  <r>
    <s v="08101"/>
    <s v="CO"/>
    <s v="Pueblo"/>
    <s v="CODPHE"/>
    <s v="4350411"/>
    <s v="101-0048"/>
    <s v="81004CFSTL225CA"/>
    <s v="Steel Mill"/>
    <s v="Electric Arc Furnaces"/>
    <n v="303"/>
    <s v="T|2005"/>
    <n v="721"/>
    <n v="359"/>
    <s v="CF &amp; I STEEL L P"/>
    <s v=""/>
    <s v="OP"/>
    <n v="2008"/>
    <s v="2100 S. FREEWAY"/>
    <s v="PUEBLO AREA"/>
    <s v=""/>
    <s v=" "/>
    <s v="SLT submitted Hg data and it is significantly larger than NATA and TRI.  Please review."/>
    <s v="SLT 2008"/>
    <s v="Agree"/>
    <s v="Emissions consistent with values reported by facility on 2007-12-20. NB these were reported as unspeciated mercury compounds."/>
    <m/>
    <m/>
    <m/>
    <x v="21"/>
    <s v="YES"/>
    <m/>
    <x v="1"/>
    <x v="1"/>
    <m/>
    <n v="7439976"/>
    <m/>
    <m/>
    <m/>
    <n v="0"/>
    <m/>
    <m/>
    <m/>
  </r>
  <r>
    <s v="18003"/>
    <s v="IN"/>
    <s v="Allen"/>
    <s v="INDEM"/>
    <s v="4543911"/>
    <s v="00011"/>
    <s v="46801SLTRS2400T"/>
    <s v="Steel Mill"/>
    <s v="Electric Arc Furnaces"/>
    <n v="26.065515999999999"/>
    <s v="R|2002"/>
    <m/>
    <m/>
    <s v="Valbruna Slater Stainless, Inc"/>
    <s v="Na"/>
    <s v="ONRE"/>
    <n v="1998"/>
    <s v="2400 Taylor Street West"/>
    <s v="Fort Wayne"/>
    <s v=""/>
    <s v=" "/>
    <s v="No SLT or TRI Hg data.  Not clear whether this facility has EAFs.  Request state to comment -- current option is to use NATA emissions."/>
    <s v="NATA  "/>
    <s v="Disagree "/>
    <s v="No EAF.  "/>
    <s v="0 LBS"/>
    <m/>
    <m/>
    <x v="22"/>
    <s v=" "/>
    <m/>
    <x v="4"/>
    <x v="1"/>
    <m/>
    <n v="7439976"/>
    <m/>
    <d v="2011-10-13T00:00:00"/>
    <m/>
    <n v="0"/>
    <m/>
    <m/>
    <m/>
  </r>
  <r>
    <s v="42121"/>
    <s v="PA"/>
    <s v="Venango"/>
    <s v="PADEP"/>
    <s v="4760011"/>
    <s v="421210005"/>
    <s v="16301LCTRL175MA"/>
    <s v="Steel Mill"/>
    <s v="Electric Arc Furnaces"/>
    <n v="29.323706000000001"/>
    <s v="R|2002"/>
    <m/>
    <m/>
    <s v="ELECTRALLOY GO CARLSON/OIL CITY"/>
    <s v="GO CARLSON INC"/>
    <s v="OP"/>
    <n v="2008"/>
    <s v="175 MAIN ST"/>
    <s v="OIL CITY"/>
    <s v=""/>
    <s v=" "/>
    <s v="No state  or TRI Hg data available.  But facility appears to have EAFs.   Question:  Could SLT provide emissions/information or do we use NATA data?"/>
    <s v="NATA  "/>
    <s v="Y"/>
    <s v="No local test data or emission factor available"/>
    <m/>
    <m/>
    <m/>
    <x v="23"/>
    <s v="NO"/>
    <n v="27.58"/>
    <x v="3"/>
    <x v="11"/>
    <n v="15381414"/>
    <n v="7439976"/>
    <m/>
    <d v="2011-10-20T00:00:00"/>
    <s v="Used EPA EAF 2010 testing program avge EF of 2.48e-4 lbs/ton steel and 2008 throughput provided by PA"/>
    <n v="101"/>
    <n v="13"/>
    <m/>
    <m/>
  </r>
  <r>
    <s v="42121"/>
    <s v="PA"/>
    <s v="Venango"/>
    <s v="PADEP"/>
    <s v="4760011"/>
    <s v="421210005"/>
    <s v="16301LCTRL175MA"/>
    <s v="Steel Mill"/>
    <s v="Electric Arc Furnaces"/>
    <n v="29.323706000000001"/>
    <s v="R|2002"/>
    <m/>
    <m/>
    <s v="ELECTRALLOY GO CARLSON/OIL CITY"/>
    <s v="GO CARLSON INC"/>
    <s v="OP"/>
    <n v="2008"/>
    <s v="175 MAIN ST"/>
    <s v="OIL CITY"/>
    <s v=""/>
    <s v=" "/>
    <s v="No state  or TRI Hg data available.  But facility appears to have EAFs.   Question:  Could SLT provide emissions/information or do we use NATA data?"/>
    <s v="NATA  "/>
    <s v="Y"/>
    <s v="No local test data or emission factor available"/>
    <m/>
    <m/>
    <m/>
    <x v="23"/>
    <s v="NO"/>
    <n v="27.58"/>
    <x v="3"/>
    <x v="12"/>
    <n v="15381514"/>
    <n v="7439976"/>
    <m/>
    <d v="2011-10-20T00:00:00"/>
    <s v="Used EPA EAF 2010 testing program avge EF of 2.48e-4 lbs/ton steel and 2008 throughput provided by PA"/>
    <n v="101"/>
    <n v="13"/>
    <m/>
    <m/>
  </r>
  <r>
    <s v="42121"/>
    <s v="PA"/>
    <s v="Venango"/>
    <s v="PADEP"/>
    <s v="4760011"/>
    <s v="421210005"/>
    <s v="16301LCTRL175MA"/>
    <s v="Steel Mill"/>
    <s v="Electric Arc Furnaces"/>
    <n v="29.323706000000001"/>
    <s v="R|2002"/>
    <m/>
    <m/>
    <s v="ELECTRALLOY GO CARLSON/OIL CITY"/>
    <s v="GO CARLSON INC"/>
    <s v="OP"/>
    <n v="2008"/>
    <s v="175 MAIN ST"/>
    <s v="OIL CITY"/>
    <s v=""/>
    <s v=" "/>
    <s v="No state  or TRI Hg data available.  But facility appears to have EAFs.   Question:  Could SLT provide emissions/information or do we use NATA data?"/>
    <s v="NATA  "/>
    <s v="Y"/>
    <s v="No local test data or emission factor available"/>
    <m/>
    <m/>
    <m/>
    <x v="23"/>
    <s v="NO"/>
    <n v="27.58"/>
    <x v="3"/>
    <x v="12"/>
    <n v="15381614"/>
    <n v="7439976"/>
    <m/>
    <d v="2011-10-20T00:00:00"/>
    <s v="Used EPA EAF 2010 testing program avge EF of 2.48e-4 lbs/ton steel and 2008 throughput provided by PA"/>
    <n v="101"/>
    <n v="13"/>
    <m/>
    <m/>
  </r>
  <r>
    <s v="42121"/>
    <s v="PA"/>
    <s v="Venango"/>
    <s v="PADEP"/>
    <s v="4760011"/>
    <s v="421210005"/>
    <s v="16301LCTRL175MA"/>
    <s v="Steel Mill"/>
    <s v="Electric Arc Furnaces"/>
    <n v="29.323706000000001"/>
    <s v="R|2002"/>
    <m/>
    <m/>
    <s v="ELECTRALLOY GO CARLSON/OIL CITY"/>
    <s v="GO CARLSON INC"/>
    <s v="OP"/>
    <n v="2008"/>
    <s v="175 MAIN ST"/>
    <s v="OIL CITY"/>
    <s v=""/>
    <s v=" "/>
    <s v="No state  or TRI Hg data available.  But facility appears to have EAFs.   Question:  Could SLT provide emissions/information or do we use NATA data?"/>
    <s v="NATA  "/>
    <s v="Y"/>
    <s v="No local test data or emission factor available"/>
    <m/>
    <m/>
    <m/>
    <x v="23"/>
    <s v="NO"/>
    <n v="27.58"/>
    <x v="3"/>
    <x v="13"/>
    <n v="15382014"/>
    <n v="7439976"/>
    <m/>
    <d v="2011-10-20T00:00:00"/>
    <s v="Used EPA EAF 2010 testing program avge EF of 2.48e-4 lbs/ton steel and 2008 throughput provided by PA"/>
    <n v="101"/>
    <n v="13"/>
    <m/>
    <m/>
  </r>
  <r>
    <s v="06071"/>
    <s v="CA"/>
    <s v="San Bernardino"/>
    <s v="CARB"/>
    <s v="4840211"/>
    <s v="36102618931"/>
    <s v=""/>
    <s v="Steel Mill"/>
    <s v="Electric Arc Furnaces"/>
    <n v="244.39241200000001"/>
    <s v="R|2002, S|2005"/>
    <n v="2.1634E-2"/>
    <m/>
    <s v="TAMCO"/>
    <s v="TAMCO"/>
    <s v="OP"/>
    <n v="2008"/>
    <s v="12459-B ARROW ROUTE"/>
    <s v="RANCHO CUCAMONGA"/>
    <s v=""/>
    <s v=" "/>
    <s v="SLT submitted Hg data but not for EAF process. No TRI data.     Question:  Could SLT provide emissions/information or do we use NATA data?"/>
    <s v="NATA  "/>
    <s v="Y"/>
    <s v="No local test data or emission factor available"/>
    <m/>
    <m/>
    <m/>
    <x v="24"/>
    <m/>
    <m/>
    <x v="5"/>
    <x v="0"/>
    <n v="113458414"/>
    <n v="7439976"/>
    <m/>
    <m/>
    <s v="NATA2005 carried forward; assigned to electric arc furnace process based on SCC"/>
    <n v="79"/>
    <n v="2"/>
    <m/>
    <m/>
  </r>
  <r>
    <s v="48289"/>
    <s v="TX"/>
    <s v="Leon"/>
    <s v="TXCEQ"/>
    <s v="4930611"/>
    <s v="1"/>
    <s v="75846NCRSTHWY79"/>
    <s v="Steel Mill"/>
    <s v="Electric Arc Furnaces"/>
    <n v="947.8767180000001"/>
    <s v="R|2002, S|2005"/>
    <n v="268.60000000000002"/>
    <n v="297.02999999999997"/>
    <s v="NUCOR STEEL"/>
    <s v="NUCOR CORP"/>
    <s v="OP"/>
    <n v="1980"/>
    <s v="S OF US 79 &amp; E OF FM 39"/>
    <s v="JEWETT"/>
    <n v="295.57268391697306"/>
    <s v="Nucor-Jewett-TX"/>
    <s v="EPA rule data is slightly higher than State data"/>
    <s v="EPA RULE DATA"/>
    <s v="Disagree"/>
    <s v="2009 EPA Rule data and reported 2008 emissions are similar.  Recommend using either the TCEQ 2008 emissions or 2008 TRI."/>
    <m/>
    <m/>
    <m/>
    <x v="25"/>
    <m/>
    <m/>
    <x v="1"/>
    <x v="1"/>
    <m/>
    <n v="7439976"/>
    <m/>
    <m/>
    <m/>
    <n v="0"/>
    <m/>
    <m/>
    <m/>
  </r>
  <r>
    <s v="48289"/>
    <s v="TX"/>
    <s v="Leon"/>
    <s v="TXCEQ"/>
    <s v="4930611"/>
    <s v="1"/>
    <s v="75846NCRSTHWY79"/>
    <s v="Steel Mill"/>
    <s v="Electric Arc Furnaces"/>
    <n v="947.8767180000001"/>
    <s v="R|2002, S|2005"/>
    <n v="268.60000000000002"/>
    <n v="297.02999999999997"/>
    <s v="NUCOR STEEL"/>
    <s v="NUCOR CORP"/>
    <s v="OP"/>
    <n v="1980"/>
    <s v="S OF US 79 &amp; E OF FM 39"/>
    <s v="JEWETT"/>
    <n v="295.57268391697306"/>
    <s v="Nucor-Jewett-TX"/>
    <s v="EPA rule data is slightly higher than State data"/>
    <s v="EPA RULE DATA"/>
    <s v="Disagree"/>
    <s v="2009 EPA Rule data and reported 2008 emissions are similar.  Recommend using either the TCEQ 2008 emissions or 2008 TRI."/>
    <m/>
    <m/>
    <m/>
    <x v="25"/>
    <m/>
    <m/>
    <x v="0"/>
    <x v="14"/>
    <n v="98671014"/>
    <n v="7439976"/>
    <m/>
    <m/>
    <s v="EPA EAF  ICR data based on 2010 emissions testing and recorded steel production rates, resulting EF applied to 2009 steel production (Donna Lee Jones, EPA/OAQPS/SPPD)"/>
    <n v="166"/>
    <n v="10"/>
    <m/>
    <m/>
  </r>
  <r>
    <s v="48289"/>
    <s v="TX"/>
    <s v="Leon"/>
    <s v="TXCEQ"/>
    <s v="4930611"/>
    <s v="1"/>
    <s v="75846NCRSTHWY79"/>
    <s v="Steel Mill"/>
    <s v="Electric Arc Furnaces"/>
    <n v="947.8767180000001"/>
    <s v="R|2002, S|2005"/>
    <n v="268.60000000000002"/>
    <n v="297.02999999999997"/>
    <s v="NUCOR STEEL"/>
    <s v="NUCOR CORP"/>
    <s v="OP"/>
    <n v="1980"/>
    <s v="S OF US 79 &amp; E OF FM 39"/>
    <s v="JEWETT"/>
    <n v="295.57268391697306"/>
    <s v="Nucor-Jewett-TX"/>
    <s v="EPA rule data is slightly higher than State data"/>
    <s v="EPA RULE DATA"/>
    <s v="Disagree"/>
    <s v="2009 EPA Rule data and reported 2008 emissions are similar.  Recommend using either the TCEQ 2008 emissions or 2008 TRI."/>
    <m/>
    <m/>
    <m/>
    <x v="25"/>
    <m/>
    <m/>
    <x v="0"/>
    <x v="15"/>
    <n v="98674314"/>
    <n v="7439976"/>
    <m/>
    <m/>
    <s v="EPA EAF  ICR data based on 2010 emissions testing and recorded steel production rates, resulting EF applied to 2009 steel production (Donna Lee Jones, EPA/OAQPS/SPPD)"/>
    <n v="166"/>
    <n v="10"/>
    <m/>
    <m/>
  </r>
  <r>
    <s v="48289"/>
    <s v="TX"/>
    <s v="Leon"/>
    <s v="TXCEQ"/>
    <s v="4930611"/>
    <s v="1"/>
    <s v="75846NCRSTHWY79"/>
    <s v="Steel Mill"/>
    <s v="Electric Arc Furnaces"/>
    <n v="947.8767180000001"/>
    <s v="R|2002, S|2005"/>
    <n v="268.60000000000002"/>
    <n v="297.02999999999997"/>
    <s v="NUCOR STEEL"/>
    <s v="NUCOR CORP"/>
    <s v="OP"/>
    <n v="1980"/>
    <s v="S OF US 79 &amp; E OF FM 39"/>
    <s v="JEWETT"/>
    <n v="295.57268391697306"/>
    <s v="Nucor-Jewett-TX"/>
    <s v="EPA rule data is slightly higher than State data"/>
    <s v="EPA RULE DATA"/>
    <s v="Disagree"/>
    <s v="2009 EPA Rule data and reported 2008 emissions are similar.  Recommend using either the TCEQ 2008 emissions or 2008 TRI."/>
    <m/>
    <m/>
    <m/>
    <x v="25"/>
    <m/>
    <m/>
    <x v="0"/>
    <x v="16"/>
    <n v="98674414"/>
    <n v="7439976"/>
    <m/>
    <m/>
    <s v="EPA EAF  ICR data based on 2010 emissions testing and recorded steel production rates, resulting EF applied to 2009 steel production (Donna Lee Jones, EPA/OAQPS/SPPD)"/>
    <n v="166"/>
    <n v="10"/>
    <m/>
    <m/>
  </r>
  <r>
    <s v="45063"/>
    <s v="SC"/>
    <s v="Lexington"/>
    <s v="SCDHEC"/>
    <s v="4947711"/>
    <s v="1560-0087"/>
    <s v="29033WNLCT310NE"/>
    <s v="Steel Mill"/>
    <s v="Electric Arc Furnaces"/>
    <n v="354.81683800000002"/>
    <s v="R|2002"/>
    <n v="0.32563999999999999"/>
    <m/>
    <s v="CMC STEEL SOUTH CAROLINA"/>
    <s v="Na"/>
    <s v="OP"/>
    <n v="2008"/>
    <s v="310 NEW STATE RD"/>
    <s v="CAYCE"/>
    <n v="174.90882639687732"/>
    <s v="CMC-Cayce-SC"/>
    <s v="SLT submitted Hg data but not for EAF process. Therefore can use EPA rule data for EAFs.  State data will still be used for non EAF processes at facility."/>
    <s v="EPA RULE DATA"/>
    <s v="see SLT comments"/>
    <s v="South Carolina agrees with using the 2010 ICR data (0.00033 lb Hg/ton) and 2008 production rate (662,087 tons steel)."/>
    <s v="218.49 lb_x000a_(0.109 tons)"/>
    <s v="001"/>
    <n v="1"/>
    <x v="26"/>
    <m/>
    <m/>
    <x v="1"/>
    <x v="17"/>
    <m/>
    <n v="7439976"/>
    <m/>
    <m/>
    <m/>
    <n v="0"/>
    <m/>
    <s v="since state adjusted throughput I have asked them to submit.  (they gave a tentative data of oct 21 --- see email from oct 18 chad wilibanks"/>
    <m/>
  </r>
  <r>
    <s v="45063"/>
    <s v="SC"/>
    <s v="Lexington"/>
    <s v="SCDHEC"/>
    <s v="4947711"/>
    <s v="1560-0087"/>
    <s v="29033WNLCT310NE"/>
    <s v="Steel Mill"/>
    <s v="Electric Arc Furnaces"/>
    <n v="354.81683800000002"/>
    <s v="R|2002"/>
    <n v="0.32563999999999999"/>
    <m/>
    <s v="CMC STEEL SOUTH CAROLINA"/>
    <s v="Na"/>
    <s v="OP"/>
    <n v="2008"/>
    <s v="310 NEW STATE RD"/>
    <s v="CAYCE"/>
    <n v="174.90882639687732"/>
    <s v="CMC-Cayce-SC"/>
    <s v="SLT submitted Hg data but not for EAF process. Therefore can use EPA rule data for EAFs.  State data will still be used for non EAF processes at facility."/>
    <s v="EPA RULE DATA"/>
    <s v="see SLT comments"/>
    <s v="South Carolina agrees with using the 2010 ICR data (0.00033 lb Hg/ton) and 2008 production rate (662,087 tons steel)."/>
    <s v="218.49 lb_x000a_(0.109 tons)"/>
    <s v="001"/>
    <n v="1"/>
    <x v="26"/>
    <m/>
    <m/>
    <x v="0"/>
    <x v="0"/>
    <n v="14539514"/>
    <n v="7439976"/>
    <m/>
    <m/>
    <s v="EPA EAF  ICR data based on 2010 emissions testing and recorded steel production rates, resulting EF applied to 2009 steel production (Donna Lee Jones, EPA/OAQPS/SPPD)"/>
    <n v="166"/>
    <n v="10"/>
    <s v=" "/>
    <m/>
  </r>
  <r>
    <s v="45031"/>
    <s v="SC"/>
    <s v="Darlington"/>
    <s v="SCDHEC"/>
    <s v="4951411"/>
    <s v="0820-0001"/>
    <s v="29532NCRSTBOX52"/>
    <s v="Steel Mill"/>
    <s v="Electric Arc Furnaces"/>
    <n v="151"/>
    <s v="T|2005"/>
    <n v="69.386840000000063"/>
    <n v="69.745999999999995"/>
    <s v="NUCOR STEEL DARLINGTON"/>
    <s v="Na"/>
    <s v="OP"/>
    <n v="2008"/>
    <s v="300 STEEL MILL RD"/>
    <s v="DARLINGTON"/>
    <n v="244.34224739451741"/>
    <s v="Nucor-Darlington-SC"/>
    <s v="RECENT TEST DATA MUCH GREATER THAN SLT EMISSIONS.  "/>
    <s v="EPA RULE DATA"/>
    <s v="see SLT comments"/>
    <s v="South Carolina agrees with using the 2010 ICR data (0.00032 lb Hg/ton) and 2008 production rate (934,710.1 tons steel)."/>
    <s v="299 lb_x000a_(0.150 tons)"/>
    <s v="001"/>
    <n v="1"/>
    <x v="27"/>
    <m/>
    <n v="299"/>
    <x v="1"/>
    <x v="0"/>
    <s v="South Carolina agrees with using the 2010 ICR data (0.00032 lb Hg/ton) and 2008 production rate (934,710.1 tons steel)."/>
    <n v="7439976"/>
    <m/>
    <m/>
    <m/>
    <n v="0"/>
    <m/>
    <s v="since state adjusted throughput I have asked them to submit.  (they gave a tentative data of oct 21 --- see email from oct 18 chad wilibanks.  They submittd but not exaclty value in this sheet (276 instead of 299)"/>
    <m/>
  </r>
  <r>
    <s v="45031"/>
    <s v="SC"/>
    <s v="Darlington"/>
    <s v="SCDHEC"/>
    <s v="4951411"/>
    <s v="0820-0001"/>
    <s v="29532NCRSTBOX52"/>
    <s v="Steel Mill"/>
    <s v="Electric Arc Furnaces"/>
    <n v="151"/>
    <s v="T|2005"/>
    <n v="69.386840000000063"/>
    <n v="69.745999999999995"/>
    <s v="NUCOR STEEL DARLINGTON"/>
    <s v="Na"/>
    <s v="OP"/>
    <n v="2008"/>
    <s v="300 STEEL MILL RD"/>
    <s v="DARLINGTON"/>
    <n v="244.34224739451741"/>
    <s v="Nucor-Darlington-SC"/>
    <s v="RECENT TEST DATA MUCH GREATER THAN SLT EMISSIONS.  "/>
    <s v="EPA RULE DATA"/>
    <s v="see SLT comments"/>
    <s v="South Carolina agrees with using the 2010 ICR data (0.00032 lb Hg/ton) and 2008 production rate (934,710.1 tons steel)."/>
    <s v="299 lb_x000a_(0.150 tons)"/>
    <s v="001"/>
    <n v="1"/>
    <x v="27"/>
    <m/>
    <s v=" "/>
    <x v="0"/>
    <x v="0"/>
    <n v="15420314"/>
    <n v="7439976"/>
    <m/>
    <m/>
    <s v="EPA EAF  ICR data based on 2010 emissions testing and recorded steel production rates, resulting EF applied to 2009 steel production (Donna Lee Jones, EPA/OAQPS/SPPD)"/>
    <n v="166"/>
    <n v="10"/>
    <s v=" "/>
    <m/>
  </r>
  <r>
    <s v="45015"/>
    <s v="SC"/>
    <s v="Berkeley"/>
    <s v="SCDHEC"/>
    <s v="4953011"/>
    <s v="0420-0060"/>
    <s v="29450NCRST1455H"/>
    <s v="Steel Mill"/>
    <s v="Electric Arc Furnaces"/>
    <n v="421.10299999999995"/>
    <s v="T|2005"/>
    <n v="190.24300160000001"/>
    <n v="193.48"/>
    <s v="NUCOR STEEL BERKELEY"/>
    <s v="Na"/>
    <s v="OP"/>
    <n v="2008"/>
    <s v="1455 HAGAN AVE"/>
    <s v="HUGER"/>
    <n v="332.2127498077889"/>
    <s v="Nucor-Huger-SC"/>
    <s v="RECENT TEST DATA MUCH GREATER THAN SLT EMISSIONS.  REQUEST STATE TO EXPLAIN.   SLT submitted Hg data"/>
    <s v="EPA RULE DATA"/>
    <s v="see SLT comments"/>
    <s v="South Carolina agrees with using the 2010 ICR data (0.00015 lb Hg/ton) and 2008 production rate (2,898,369 tons steel).  All Hg emissions were placed at the melt shop baghouse as the ICR data was a combined result for 2 baghouses (melt shop and canopy).  While the &quot;original&quot; state data was based on a 2009 stack test, use of the ICR data is preferred to maintain consistent methodology across all EAFs."/>
    <s v="434.76 lb_x000a_(0.217 tons)"/>
    <s v="001"/>
    <n v="9"/>
    <x v="28"/>
    <m/>
    <s v=" "/>
    <x v="1"/>
    <x v="18"/>
    <s v="South Carolina agrees with using the 2010 ICR data (0.00015 lb Hg/ton) and 2008 production rate (2,898,369 tons steel).  All Hg emissions were placed at the melt shop baghouse as the ICR data was a combined result for 2 baghouses (melt shop and canopy).  While the &quot;original&quot; state data was based on a 2009 stack test, use of the ICR data is preferred to maintain consistent methodology across all EAFs."/>
    <n v="7439976"/>
    <m/>
    <m/>
    <m/>
    <n v="0"/>
    <m/>
    <s v="since state adjusted throughput I have asked them to submit.  (they gave a tentative data of oct 21 --- see email from oct 18 chad wilibanks"/>
    <m/>
  </r>
  <r>
    <s v="45015"/>
    <s v="SC"/>
    <s v="Berkeley"/>
    <s v="SCDHEC"/>
    <s v="4953011"/>
    <s v="0420-0060"/>
    <s v="29450NCRST1455H"/>
    <s v="Steel Mill"/>
    <s v="Electric Arc Furnaces"/>
    <n v="421.10299999999995"/>
    <s v="T|2005"/>
    <n v="190.24300160000001"/>
    <n v="193.48"/>
    <s v="NUCOR STEEL BERKELEY"/>
    <s v="Na"/>
    <s v="OP"/>
    <n v="2008"/>
    <s v="1455 HAGAN AVE"/>
    <s v="HUGER"/>
    <n v="332.2127498077889"/>
    <s v="Nucor-Huger-SC"/>
    <s v="RECENT TEST DATA MUCH GREATER THAN SLT EMISSIONS.  REQUEST STATE TO EXPLAIN.   SLT submitted Hg data"/>
    <s v="EPA RULE DATA"/>
    <s v="see SLT comments"/>
    <s v="Since the ICR data includes the canopy baghouse, remove state emissions from this process.  See comment above for further details.."/>
    <s v="0 lb"/>
    <s v="001"/>
    <n v="10"/>
    <x v="28"/>
    <m/>
    <s v=" "/>
    <x v="1"/>
    <x v="18"/>
    <s v="Since the ICR data includes the canopy baghouse, remove state emissions from this process."/>
    <n v="7439976"/>
    <m/>
    <m/>
    <m/>
    <n v="0"/>
    <m/>
    <s v="since state adjusted throughput I have asked them to submit.  (they gave a tentative data of oct 21 --- see email from oct 18 chad wilibanks"/>
    <m/>
  </r>
  <r>
    <s v="45015"/>
    <s v="SC"/>
    <s v="Berkeley"/>
    <s v="SCDHEC"/>
    <s v="4953011"/>
    <s v="0420-0060"/>
    <s v="29450NCRST1455H"/>
    <s v="Steel Mill"/>
    <s v="Electric Arc Furnaces"/>
    <n v="421.10299999999995"/>
    <s v="T|2005"/>
    <n v="190.24300160000001"/>
    <n v="193.48"/>
    <s v="NUCOR STEEL BERKELEY"/>
    <s v="Na"/>
    <s v="OP"/>
    <n v="2008"/>
    <s v="1455 HAGAN AVE"/>
    <s v="HUGER"/>
    <n v="332.2127498077889"/>
    <s v="Nucor-Huger-SC"/>
    <s v="RECENT TEST DATA MUCH GREATER THAN SLT EMISSIONS.  REQUEST STATE TO EXPLAIN.   SLT submitted Hg data"/>
    <s v="EPA RULE DATA"/>
    <s v="see SLT comments"/>
    <s v="South Carolina agrees with using the 2010 ICR data (0.00015 lb Hg/ton) and 2008 production rate (2,898,369 tons steel).  All Hg emissions were placed at the melt shop baghouse as the ICR data was a combined result for 2 baghouses (melt shop and canopy).  While the &quot;original&quot; state data was based on a 2009 stack test, use of the ICR data is preferred to maintain consistent methodology across all EAFs."/>
    <s v="434.76 lb_x000a_(0.217 tons)"/>
    <s v="001"/>
    <n v="9"/>
    <x v="28"/>
    <m/>
    <s v=" "/>
    <x v="0"/>
    <x v="0"/>
    <n v="96329214"/>
    <n v="7439976"/>
    <m/>
    <m/>
    <s v="EPA EAF  ICR data based on 2010 emissions testing and recorded steel production rates, resulting EF applied to 2009 steel production (Donna Lee Jones, EPA/OAQPS/SPPD).  Assigned to process SC chose for their EAF Hg emissions."/>
    <n v="225"/>
    <n v="10"/>
    <s v="since state adjusted throughput I have asked them to submit.  (they gave a tentative data of oct 21 --- see email from oct 18 chad wilibanks"/>
    <m/>
  </r>
  <r>
    <s v="42123"/>
    <s v="PA"/>
    <s v="Warren"/>
    <s v="PADEP"/>
    <s v="4967711"/>
    <s v="421230002"/>
    <s v="16329NTNLF1FRON"/>
    <s v="Steel Mill"/>
    <s v="Electric Arc Furnaces"/>
    <n v="18.897500000000001"/>
    <s v="R|2002"/>
    <m/>
    <m/>
    <s v="ELLWOOD NATL FORGE/IRVINE"/>
    <s v="ELLWOOD NATL FORGE CO"/>
    <s v="OP"/>
    <n v="2008"/>
    <s v="1 FRONT ST"/>
    <s v="IRVINE"/>
    <s v=""/>
    <s v=" "/>
    <s v="No state  or TRI Hg data available.  But facility appears to have EAFs.   Question:  Could SLT provide emissions/information or do we use NATA data?"/>
    <s v="NATA  "/>
    <s v="Agree"/>
    <s v="Verified; no Hg emissions were submitted to PA in 2008.  Please use EPA recommended NATA data."/>
    <m/>
    <m/>
    <m/>
    <x v="29"/>
    <s v="NO"/>
    <n v="24.16"/>
    <x v="3"/>
    <x v="0"/>
    <n v="15137214"/>
    <n v="7439976"/>
    <m/>
    <d v="2011-10-20T00:00:00"/>
    <s v="Used EPA EAF 2010 testing program avge EF of 2.48e-4 lbs/ton steel and 2008 throughput provided by PA; apportioned based on single process provided by PA (Unit 101A)"/>
    <n v="165"/>
    <n v="13"/>
    <m/>
    <m/>
  </r>
  <r>
    <s v="42129"/>
    <s v="PA"/>
    <s v="Westmoreland"/>
    <s v="PADEP"/>
    <s v="4968111"/>
    <s v="421290065"/>
    <s v=""/>
    <s v=""/>
    <s v="Electric Arc Furnaces"/>
    <m/>
    <s v=" "/>
    <m/>
    <m/>
    <s v="ALLEGHENY LUDLUM CORP/LATROBE FAC"/>
    <s v="ALLEGHENY LUDLUM CORP"/>
    <s v="OP"/>
    <n v="2008"/>
    <s v="136 ALLVAC LN"/>
    <s v="LATROBE"/>
    <n v="4.4044498819214531E-2"/>
    <s v="Alle-Latrobe-PA"/>
    <s v="No TRI or state data but there is rule data."/>
    <s v="EPA RULE DATA "/>
    <s v="Agree"/>
    <s v="Verified; no Hg emissions were submitted to PA in 2008.  Please use EPA recommended EPA Rule Data."/>
    <m/>
    <m/>
    <m/>
    <x v="30"/>
    <m/>
    <n v="0.39"/>
    <x v="3"/>
    <x v="0"/>
    <n v="15129314"/>
    <n v="7439976"/>
    <m/>
    <d v="2011-10-20T00:00:00"/>
    <s v="based on 2010 testing as part of EPA EAF ICR and PA-supplied 2008 throughput; Hg EF: 0.000023lbs/ton of steel; apportioned to only EAF process at facility"/>
    <n v="154"/>
    <n v="4"/>
    <m/>
    <m/>
  </r>
  <r>
    <s v="42129"/>
    <s v="PA"/>
    <s v="Westmoreland"/>
    <s v="PADEP"/>
    <s v="4968111"/>
    <s v="421290065"/>
    <s v=""/>
    <s v=""/>
    <s v="Electric Arc Furnaces"/>
    <m/>
    <s v=" "/>
    <m/>
    <m/>
    <s v="ALLEGHENY LUDLUM CORP/LATROBE FAC"/>
    <s v="ALLEGHENY LUDLUM CORP"/>
    <s v="OP"/>
    <n v="2008"/>
    <s v="136 ALLVAC LN"/>
    <s v="LATROBE"/>
    <n v="4.4044498819214531E-2"/>
    <s v="Alle-Latrobe-PA"/>
    <s v="No TRI or state data but there is rule data."/>
    <s v="EPA RULE DATA "/>
    <s v="Agree"/>
    <s v="Verified; no Hg emissions were submitted to PA in 2008.  Please use EPA recommended EPA Rule Data."/>
    <m/>
    <m/>
    <m/>
    <x v="30"/>
    <m/>
    <n v="0.39"/>
    <x v="0"/>
    <x v="0"/>
    <n v="15129314"/>
    <n v="7439976"/>
    <m/>
    <d v="2011-11-15T00:00:00"/>
    <s v="based on 2010 testing as part of EPA EAF ICR and PA-supplied 2008 throughput; Hg EF: 0.000023lbs/ton of steel; apportioned to only EAF process at facility"/>
    <n v="154"/>
    <n v="10"/>
    <m/>
    <m/>
  </r>
  <r>
    <s v="21041"/>
    <s v="KY"/>
    <s v="Carroll"/>
    <s v="KYDAQ"/>
    <s v="5198911"/>
    <s v="2104100034"/>
    <s v="41045NRTHMUS42E"/>
    <s v="Steel Mill"/>
    <s v="Electric Arc Furnaces"/>
    <n v="260.65516000000002"/>
    <s v="R|2002"/>
    <m/>
    <m/>
    <s v="North American Stainless"/>
    <s v="Na"/>
    <s v="OP"/>
    <n v="2008"/>
    <s v="6870 US 42 E"/>
    <s v="Ghent"/>
    <n v="206.86758237303067"/>
    <s v="NAS-Ghent-KY"/>
    <s v="No SLT data "/>
    <s v="EPA RULE DATA "/>
    <s v="Agree"/>
    <s v="EPA Rule Data is in line with most recent permit (V-08-022R1, issued 2010), which included Hg emissions.  There are 2 EAFs at this facility."/>
    <s v="N/A"/>
    <s v="&quot;057&quot;, &quot;105&quot;"/>
    <s v="&quot;1&quot;"/>
    <x v="31"/>
    <m/>
    <m/>
    <x v="0"/>
    <x v="19"/>
    <n v="39854214"/>
    <n v="7439976"/>
    <s v="EPA rule data - tested emissions  along with 2009 throughput,  apportioned to EAF process based on EAF process IDs provided by state and  distribution of PM-10 fil for those processes"/>
    <m/>
    <s v="EPA EAF  ICR data based on 2010 emissions testing and recorded steel production rates, resulting EF applied to 2009 steel production (Donna Lee Jones, EPA/OAQPS/SPPD).   Apportioned based on EAF process IDs provided by state and PM10-FIL"/>
    <n v="237"/>
    <n v="10"/>
    <m/>
    <m/>
  </r>
  <r>
    <s v="21041"/>
    <s v="KY"/>
    <s v="Carroll"/>
    <s v="KYDAQ"/>
    <s v="5198911"/>
    <s v="2104100034"/>
    <s v="41045NRTHMUS42E"/>
    <s v="Steel Mill"/>
    <s v="Electric Arc Furnaces"/>
    <n v="260.65516000000002"/>
    <s v="R|2002"/>
    <m/>
    <m/>
    <s v="North American Stainless"/>
    <s v="Na"/>
    <s v="OP"/>
    <n v="2008"/>
    <s v="6870 US 42 E"/>
    <s v="Ghent"/>
    <n v="206.86758237303067"/>
    <s v="NAS-Ghent-KY"/>
    <s v="No SLT data "/>
    <s v="EPA RULE DATA "/>
    <s v="Agree"/>
    <s v="EPA Rule Data is in line with most recent permit (V-08-022R1, issued 2010), which included Hg emissions.  There are 2 EAFs at this facility."/>
    <s v="N/A"/>
    <s v="&quot;057&quot;, &quot;105&quot;"/>
    <s v="&quot;1&quot;"/>
    <x v="31"/>
    <m/>
    <m/>
    <x v="0"/>
    <x v="20"/>
    <n v="107014214"/>
    <n v="7439976"/>
    <s v="EPA rule data apportioned to EAF process based on EAF process IDs provided by state and  distribution of PM-10 fil for those processes"/>
    <m/>
    <s v="EPA EAF  ICR data based on 2010 emissions testing and recorded steel production rates, resulting EF applied to 2009 steel production (Donna Lee Jones, EPA/OAQPS/SPPD).   Apportioned based on EAF process IDs provided by state and PM10-FIL"/>
    <n v="237"/>
    <n v="10"/>
    <m/>
    <m/>
  </r>
  <r>
    <s v="21019"/>
    <s v="KY"/>
    <s v="Boyd"/>
    <s v="KYDAQ"/>
    <s v="5206211"/>
    <s v="2101900020"/>
    <s v=""/>
    <s v=""/>
    <s v="Electric Arc Furnaces"/>
    <m/>
    <s v=" "/>
    <m/>
    <m/>
    <s v="KES Acquisition Co LLC"/>
    <s v="Na"/>
    <s v="OP"/>
    <n v="2008"/>
    <s v="2704 S Big Run Rd"/>
    <s v="Ashland"/>
    <s v=""/>
    <s v=" "/>
    <s v="no Hg emissions in NATA, NEI or TRI, but appears to have EAF-related process descriptions.  Is there an EAF and if so, can KY estimate the emissions?"/>
    <s v="no data but on EPA RULE  list"/>
    <s v="Disagree"/>
    <s v="Per KYDAQ permit V-08-027 R2, there are 2 EAFs at this facility.  Lacking any additional information, KYDAQ used the 2008 annual thruput reported and the AP-42 emission factor."/>
    <s v="12.56 lbs Hg"/>
    <s v="&quot;020&quot;"/>
    <s v="&quot;1&quot;"/>
    <x v="32"/>
    <m/>
    <m/>
    <x v="1"/>
    <x v="1"/>
    <m/>
    <n v="7439976"/>
    <m/>
    <m/>
    <m/>
    <n v="0"/>
    <m/>
    <s v="Yes and sate reported emissions on 10/11/2011"/>
    <m/>
  </r>
  <r>
    <s v="48361"/>
    <s v="TX"/>
    <s v="Orange"/>
    <s v="TXCEQ"/>
    <s v="5680611"/>
    <s v="16"/>
    <s v="77701NRTHSOLDHI"/>
    <s v="Steel Mill"/>
    <s v="Electric Arc Furnaces"/>
    <n v="0.05"/>
    <s v="T|2005"/>
    <m/>
    <m/>
    <s v="GERDAU AMERISTEEL BEAUMONT MILL"/>
    <s v="GERDAU AMERISTEEL US INC"/>
    <s v="OP"/>
    <n v="1979"/>
    <s v="OLD HWY 90"/>
    <s v="ROSE CITY"/>
    <n v="101.98686946972836"/>
    <s v="Gerdau-Beaumont-TX"/>
    <s v="No TRI or state data but there is rule data."/>
    <s v="EPA RULE DATA "/>
    <s v="Agree"/>
    <m/>
    <m/>
    <m/>
    <m/>
    <x v="33"/>
    <m/>
    <m/>
    <x v="0"/>
    <x v="21"/>
    <s v="2558914  "/>
    <n v="7439976"/>
    <m/>
    <m/>
    <s v="EPA EAF  ICR data based on 2010 emissions testing and recorded steel production rates, resulting EF applied to 2009 steel production (Donna Lee Jones, EPA/OAQPS/SPPD)-apportioned to the 2  EAF SCCs  based on Pb "/>
    <n v="211"/>
    <n v="10"/>
    <m/>
    <m/>
  </r>
  <r>
    <s v="48361"/>
    <s v="TX"/>
    <s v="Orange"/>
    <s v="TXCEQ"/>
    <s v="5680611"/>
    <s v="16"/>
    <s v="77701NRTHSOLDHI"/>
    <s v="Steel Mill"/>
    <s v="Electric Arc Furnaces"/>
    <n v="0.05"/>
    <s v="T|2005"/>
    <m/>
    <m/>
    <s v="GERDAU AMERISTEEL BEAUMONT MILL"/>
    <s v="GERDAU AMERISTEEL US INC"/>
    <s v="OP"/>
    <n v="1979"/>
    <s v="OLD HWY 90"/>
    <s v="ROSE CITY"/>
    <n v="101.98686946972836"/>
    <s v="Gerdau-Beaumont-TX"/>
    <s v="No TRI or state data but there is rule data."/>
    <s v="EPA RULE DATA "/>
    <s v="Agree"/>
    <m/>
    <m/>
    <m/>
    <m/>
    <x v="33"/>
    <m/>
    <m/>
    <x v="0"/>
    <x v="22"/>
    <s v="2559014  "/>
    <n v="7439976"/>
    <m/>
    <m/>
    <s v="EPA EAF  ICR data based on 2010 emissions testing and recorded steel production rates, resulting EF applied to 2009 steel production (Donna Lee Jones, EPA/OAQPS/SPPD)-apportioned to the 2  EAF SCCs  based on Pb "/>
    <n v="211"/>
    <n v="10"/>
    <m/>
    <m/>
  </r>
  <r>
    <s v="42111"/>
    <s v="PA"/>
    <s v="Somerset"/>
    <s v="PADEP"/>
    <s v="5684911"/>
    <s v="421110013"/>
    <s v="15935FRSTMRTE60"/>
    <s v=""/>
    <s v="Electric Arc Furnaces"/>
    <m/>
    <s v=" "/>
    <m/>
    <m/>
    <s v="NORTH AMERICAN HOGANAS INC/STONY CREEK PLT"/>
    <s v="NORTH AMER HOGANAS INC"/>
    <s v="OP"/>
    <n v="2008"/>
    <s v="111 HOGANAS WAY"/>
    <s v="HOLLSOPPLE"/>
    <s v=""/>
    <m/>
    <s v="This facility has processes with EAF SCCS.  Should there be Hg from EAF SCCs?  Is there an EAF and if so, can PA estimate the emissions?"/>
    <s v="no EPA rule data but on EPA RULE list "/>
    <s v="Agree"/>
    <s v="Verified; no Hg emissions were submitted to PA in 2008.  EPA may calculate emissions from the following data: 2008 throughput for Electric Furnace 101 was 83,126.0 tons steel.  Source 102 was deactivated in 1995."/>
    <m/>
    <m/>
    <m/>
    <x v="34"/>
    <s v="NO"/>
    <n v="20.62"/>
    <x v="3"/>
    <x v="0"/>
    <n v="14426314"/>
    <n v="7439976"/>
    <m/>
    <m/>
    <s v="Used EPA EAF 2010 testing program avge EF of 2.48e-4 lbs/ton steel and 2008 throughput provided by PA; apportioned to the one operating unit per PA"/>
    <n v="147"/>
    <n v="13"/>
    <m/>
    <m/>
  </r>
  <r>
    <s v="45043"/>
    <s v="SC"/>
    <s v="Georgetown"/>
    <s v="SCDHEC"/>
    <s v="5698711"/>
    <s v="1140-0004"/>
    <s v="29442GRGTWSOUTH"/>
    <s v="Steel Mill"/>
    <s v="Electric Arc Furnaces"/>
    <n v="59.98"/>
    <s v="T|2005"/>
    <n v="0.25387999999999999"/>
    <n v="50.74"/>
    <s v="ARCELORMITTAL GEORGETOWN INC"/>
    <s v="Na"/>
    <s v="OP"/>
    <n v="2008"/>
    <s v="1219 FRONT ST"/>
    <s v="GEORGETOWN"/>
    <s v=""/>
    <m/>
    <s v="SLT submitted Hg data but not for EAFs at the facility.  State reporting only from process heaters and nat gas fired boiler.  Keep those emissions and add emissions for the EAF from TRI.   There is an EAF with emissions of CAPS and many  metal HAPs but not Hg.  And this process probably should have Hg.  Process id = 100180314  (state id=2) unit id = 72377713 (state id = 001)_x000a_"/>
    <s v="TRI 2008"/>
    <m/>
    <m/>
    <m/>
    <m/>
    <m/>
    <x v="35"/>
    <m/>
    <m/>
    <x v="1"/>
    <x v="0"/>
    <s v="100180314  "/>
    <n v="7439976"/>
    <m/>
    <m/>
    <s v="process is only EAF SCC with non zero emissions of other polls"/>
    <n v="62"/>
    <m/>
    <s v="I think state used a state avge EAF emission factor for this facility  33.8 lbs total"/>
    <m/>
  </r>
  <r>
    <s v="47165"/>
    <s v="TN"/>
    <s v="Sumner"/>
    <s v="TNDEC"/>
    <s v="5706611"/>
    <s v="0129"/>
    <s v="37066HGNSC810ST"/>
    <s v="Steel Mill"/>
    <s v="Electric Arc Furnaces"/>
    <n v="162.90947599999998"/>
    <s v="R|2002"/>
    <m/>
    <m/>
    <s v="HOEGANAES CORPORATION"/>
    <s v="Na"/>
    <s v="OP"/>
    <n v="2008"/>
    <s v="1315 AIRPORT ROAD"/>
    <s v="GALLATIN"/>
    <s v=""/>
    <m/>
    <s v="No EIS or TRI Hg data but there is an EAF.   Question:  Could SLT provide emissions/information or do we use NATA data?"/>
    <s v="NATA  "/>
    <s v="agree with either way. Can use EF."/>
    <m/>
    <m/>
    <m/>
    <m/>
    <x v="36"/>
    <m/>
    <n v="45.32"/>
    <x v="3"/>
    <x v="23"/>
    <n v="11413314"/>
    <n v="7439976"/>
    <n v="6.13"/>
    <m/>
    <s v="used avge emission factor from EPA testing for EAFs of 2.48 E-4 multiplied by throughput for process (182734 tons); apportioned to all processes with EAF SCC based on PM10-FIL"/>
    <n v="175"/>
    <n v="13"/>
    <m/>
    <m/>
  </r>
  <r>
    <s v="47165"/>
    <s v="TN"/>
    <s v="Sumner"/>
    <s v="TNDEC"/>
    <s v="5706611"/>
    <s v="0129"/>
    <s v="37066HGNSC810ST"/>
    <s v="Steel Mill"/>
    <s v="Electric Arc Furnaces"/>
    <n v="162.90947599999998"/>
    <s v="R|2002"/>
    <m/>
    <m/>
    <s v="HOEGANAES CORPORATION"/>
    <s v="Na"/>
    <s v="OP"/>
    <n v="2008"/>
    <s v="1315 AIRPORT ROAD"/>
    <s v="GALLATIN"/>
    <s v=""/>
    <m/>
    <s v="No EIS or TRI Hg data but there is an EAF.   Question:  Could SLT provide emissions/information or do we use NATA data?"/>
    <s v="NATA  "/>
    <s v="agree with either way. Can use EF."/>
    <m/>
    <m/>
    <m/>
    <m/>
    <x v="36"/>
    <m/>
    <n v="45.32"/>
    <x v="3"/>
    <x v="24"/>
    <n v="11413414"/>
    <n v="7439976"/>
    <n v="3.3010000000000002"/>
    <m/>
    <s v="used avge emission factor from EPA testing for EAFs of 2.48 E-4 multiplied by throughput for process (182734 tons); apportioned to all processes with EAF SCC based on PM10-FIL"/>
    <n v="175"/>
    <n v="13"/>
    <m/>
    <m/>
  </r>
  <r>
    <s v="47165"/>
    <s v="TN"/>
    <s v="Sumner"/>
    <s v="TNDEC"/>
    <s v="5706611"/>
    <s v="0129"/>
    <s v="37066HGNSC810ST"/>
    <s v="Steel Mill"/>
    <s v="Electric Arc Furnaces"/>
    <n v="162.90947599999998"/>
    <s v="R|2002"/>
    <m/>
    <m/>
    <s v="HOEGANAES CORPORATION"/>
    <s v="Na"/>
    <s v="OP"/>
    <n v="2008"/>
    <s v="1315 AIRPORT ROAD"/>
    <s v="GALLATIN"/>
    <s v=""/>
    <m/>
    <s v="No EIS or TRI Hg data but there is an EAF.   Question:  Could SLT provide emissions/information or do we use NATA data?"/>
    <s v="NATA  "/>
    <s v="agree with either way. Can use EF."/>
    <m/>
    <m/>
    <m/>
    <m/>
    <x v="36"/>
    <m/>
    <n v="45.32"/>
    <x v="3"/>
    <x v="25"/>
    <n v="11413514"/>
    <n v="7439976"/>
    <n v="9.9000000000000005E-2"/>
    <m/>
    <s v="used avge emission factor from EPA testing for EAFs of 2.48 E-4 multiplied by throughput for process (182734 tons); apportioned to all processes with EAF SCC based on PM10-FIL"/>
    <n v="175"/>
    <n v="13"/>
    <m/>
    <m/>
  </r>
  <r>
    <s v="48141"/>
    <s v="TX"/>
    <s v="El Paso"/>
    <s v="TXCEQ"/>
    <s v="6508311"/>
    <s v="2"/>
    <s v="79912BRDRSVINTO"/>
    <s v="Steel Mill"/>
    <s v="Electric Arc Furnaces"/>
    <n v="20.339999999999996"/>
    <s v="T|2005"/>
    <m/>
    <m/>
    <s v="ARCELORMITTAL VINTON"/>
    <s v="ARCELORMITTAL VINTON INC"/>
    <s v="OP"/>
    <n v="1980"/>
    <s v="IH 10 &amp; VINTON RD"/>
    <s v="EL PASO"/>
    <s v=""/>
    <m/>
    <s v="No EIS or TRI Hg data but there is an EAF. Question:  Could SLT provide emissions or do we use NATA data?"/>
    <s v="NATA  "/>
    <s v="Agree"/>
    <s v="pulled the 2008 production data for the 2 mills below.  Using the 0.00025 factor the calcualted emissions are not much different then the NATA data.  So for these 2 I would say it's your choise as to which to use.  They are both acceptable to me"/>
    <m/>
    <m/>
    <m/>
    <x v="37"/>
    <m/>
    <n v="44.85"/>
    <x v="3"/>
    <x v="26"/>
    <n v="10398014"/>
    <n v="7439976"/>
    <m/>
    <m/>
    <s v="Used EPA EAF 2010 testing program avge EF of  2.48e-4 lbs/ton steel and 2008 throughput provided by TX; apportioned to processes w/SCC 30400701 based on Pb"/>
    <n v="155"/>
    <n v="13"/>
    <s v="WAITING FOR THROUGHPUT"/>
    <m/>
  </r>
  <r>
    <s v="48141"/>
    <s v="TX"/>
    <s v="El Paso"/>
    <s v="TXCEQ"/>
    <s v="6508311"/>
    <s v="2"/>
    <s v="79912BRDRSVINTO"/>
    <s v="Steel Mill"/>
    <s v="Electric Arc Furnaces"/>
    <n v="20.339999999999996"/>
    <s v="T|2005"/>
    <m/>
    <m/>
    <s v="ARCELORMITTAL VINTON"/>
    <s v="ARCELORMITTAL VINTON INC"/>
    <s v="OP"/>
    <n v="1980"/>
    <s v="IH 10 &amp; VINTON RD"/>
    <s v="EL PASO"/>
    <s v=""/>
    <m/>
    <s v="No EIS or TRI Hg data but there is an EAF. Question:  Could SLT provide emissions or do we use NATA data?"/>
    <s v="NATA  "/>
    <s v="Agree"/>
    <s v="pulled the 2008 production data for the 2 mills below.  Using the 0.00025 factor the calcualted emissions are not much different then the NATA data.  So for these 2 I would say it's your choise as to which to use.  They are both acceptable to me"/>
    <m/>
    <m/>
    <m/>
    <x v="37"/>
    <m/>
    <n v="44.85"/>
    <x v="3"/>
    <x v="27"/>
    <n v="10398114"/>
    <n v="7439976"/>
    <m/>
    <m/>
    <s v="Used EPA EAF 2010 testing program avge EF of  2.48e-4 lbs/ton steel and 2008 throughput provided by TX; apportioned to processes w/SCC 30400701 based on Pb"/>
    <n v="155"/>
    <n v="13"/>
    <s v="WAITING FOR THROUGHPUT"/>
    <m/>
  </r>
  <r>
    <s v="48141"/>
    <s v="TX"/>
    <s v="El Paso"/>
    <s v="TXCEQ"/>
    <s v="6508311"/>
    <s v="2"/>
    <s v="79912BRDRSVINTO"/>
    <s v="Steel Mill"/>
    <s v="Electric Arc Furnaces"/>
    <n v="20.339999999999996"/>
    <s v="T|2005"/>
    <m/>
    <m/>
    <s v="ARCELORMITTAL VINTON"/>
    <s v="ARCELORMITTAL VINTON INC"/>
    <s v="OP"/>
    <n v="1980"/>
    <s v="IH 10 &amp; VINTON RD"/>
    <s v="EL PASO"/>
    <s v=""/>
    <m/>
    <s v="No EIS or TRI Hg data but there is an EAF. Question:  Could SLT provide emissions or do we use NATA data?"/>
    <s v="NATA  "/>
    <s v="Agree"/>
    <s v="pulled the 2008 production data for the 2 mills below.  Using the 0.00025 factor the calcualted emissions are not much different then the NATA data.  So for these 2 I would say it's your choise as to which to use.  They are both acceptable to me"/>
    <m/>
    <m/>
    <m/>
    <x v="37"/>
    <m/>
    <n v="44.85"/>
    <x v="3"/>
    <x v="26"/>
    <n v="10398214"/>
    <n v="7439976"/>
    <m/>
    <m/>
    <s v="Used EPA EAF 2010 testing program avge EF of  2.48e-4 lbs/ton steel and 2008 throughput provided by TX; apportioned to processes w/SCC 30400701 based on Pb"/>
    <n v="155"/>
    <n v="13"/>
    <s v="WAITING FOR THROUGHPUT"/>
    <m/>
  </r>
  <r>
    <s v="48141"/>
    <s v="TX"/>
    <s v="El Paso"/>
    <s v="TXCEQ"/>
    <s v="6508311"/>
    <s v="2"/>
    <s v="79912BRDRSVINTO"/>
    <s v="Steel Mill"/>
    <s v="Electric Arc Furnaces"/>
    <n v="20.339999999999996"/>
    <s v="T|2005"/>
    <m/>
    <m/>
    <s v="ARCELORMITTAL VINTON"/>
    <s v="ARCELORMITTAL VINTON INC"/>
    <s v="OP"/>
    <n v="1980"/>
    <s v="IH 10 &amp; VINTON RD"/>
    <s v="EL PASO"/>
    <s v=""/>
    <m/>
    <s v="No EIS or TRI Hg data but there is an EAF. Question:  Could SLT provide emissions or do we use NATA data?"/>
    <s v="NATA  "/>
    <s v="Agree"/>
    <s v="pulled the 2008 production data for the 2 mills below.  Using the 0.00025 factor the calcualted emissions are not much different then the NATA data.  So for these 2 I would say it's your choise as to which to use.  They are both acceptable to me"/>
    <m/>
    <m/>
    <m/>
    <x v="37"/>
    <m/>
    <n v="44.85"/>
    <x v="3"/>
    <x v="27"/>
    <n v="10398314"/>
    <n v="7439976"/>
    <m/>
    <m/>
    <s v="Used EPA EAF 2010 testing program avge EF of  2.48e-4 lbs/ton steel and 2008 throughput provided by TX; apportioned to processes w/SCC 30400701 based on Pb"/>
    <n v="155"/>
    <n v="13"/>
    <s v="WAITING FOR THROUGHPUT"/>
    <m/>
  </r>
  <r>
    <s v="42073"/>
    <s v="PA"/>
    <s v="Lawrence"/>
    <s v="PADEP"/>
    <s v="6533011"/>
    <s v="420730023"/>
    <s v="16101LLWDD700MO"/>
    <s v="Steel Mill"/>
    <s v="Electric Arc Furnaces"/>
    <n v="133.58577"/>
    <s v="R|2002"/>
    <n v="0.2"/>
    <m/>
    <s v="ELLWOOD QUALITY STEELS CO/NEW CASTLE PLT"/>
    <s v="PRAXIS CO LLC"/>
    <s v="OP"/>
    <n v="2008"/>
    <s v="700 MORAVIA ST"/>
    <s v="NEW CASTLE"/>
    <s v=""/>
    <m/>
    <s v="SLT submitted Hg data but not for EAFs but rather for other processes. No TRI data.   Question:  Could SLT provide emissions/information or do we use NATA data?"/>
    <s v="NATA  "/>
    <m/>
    <m/>
    <m/>
    <m/>
    <m/>
    <x v="38"/>
    <s v="NO"/>
    <n v="106.38"/>
    <x v="3"/>
    <x v="0"/>
    <n v="13842814"/>
    <n v="7439976"/>
    <m/>
    <m/>
    <s v="Used EPA EAF 2010 testing program avge EF of  2.48e-4 lbs/ton steel and 2008 throughput provided by PA; apportioned to the one process with EAF SCC"/>
    <n v="147"/>
    <n v="13"/>
    <m/>
    <m/>
  </r>
  <r>
    <s v="42087"/>
    <s v="PA"/>
    <s v="Mifflin"/>
    <s v="PADEP"/>
    <s v="6581311"/>
    <s v="420870003"/>
    <s v="17009STNDR500WA"/>
    <s v="Steel Mill"/>
    <s v="Electric Arc Furnaces"/>
    <n v="75.264178000000001"/>
    <s v="R|2002"/>
    <m/>
    <m/>
    <s v="STD STEEL/BURNHAM"/>
    <s v="STD STEEL LLC"/>
    <s v="OP"/>
    <n v="2008"/>
    <s v="500 N WALNUT ST"/>
    <s v="BURNHAM"/>
    <s v=""/>
    <m/>
    <s v="SLT submitted Hg data but not for EAFs but rather for other processes. No TRI data.    Question:  Could SLT provide emissions/information or do we use NATA data?"/>
    <s v="NATA  "/>
    <s v="Agree"/>
    <s v="Verified; no Hg emissions were submitted to PA in 2008.  Please use EPA recommended NATA data."/>
    <m/>
    <m/>
    <m/>
    <x v="39"/>
    <m/>
    <n v="59.24"/>
    <x v="3"/>
    <x v="28"/>
    <n v="93125314"/>
    <n v="7439976"/>
    <m/>
    <m/>
    <s v="Used EPA EAF 2010 testing program avge EF of  2.48e-4 lbs/ton steel and 2008 throughput provided by PA; apportioned via process specific throughputs provided by PA"/>
    <n v="163"/>
    <n v="13"/>
    <m/>
    <m/>
  </r>
  <r>
    <s v="42087"/>
    <s v="PA"/>
    <s v="Mifflin"/>
    <s v="PADEP"/>
    <s v="6581311"/>
    <s v="420870003"/>
    <s v="17009STNDR500WA"/>
    <s v="Steel Mill"/>
    <s v="Electric Arc Furnaces"/>
    <n v="75.264178000000001"/>
    <s v="R|2002"/>
    <m/>
    <m/>
    <s v="STD STEEL/BURNHAM"/>
    <s v="STD STEEL LLC"/>
    <s v="OP"/>
    <n v="2008"/>
    <s v="500 N WALNUT ST"/>
    <s v="BURNHAM"/>
    <s v=""/>
    <m/>
    <s v="SLT submitted Hg data but not for EAFs but rather for other processes. No TRI data.    Question:  Could SLT provide emissions/information or do we use NATA data?"/>
    <s v="NATA  "/>
    <s v="Agree"/>
    <s v="Verified; no Hg emissions were submitted to PA in 2008.  Please use EPA recommended NATA data."/>
    <m/>
    <m/>
    <m/>
    <x v="39"/>
    <m/>
    <n v="59.24"/>
    <x v="3"/>
    <x v="29"/>
    <n v="93125414"/>
    <n v="7439976"/>
    <m/>
    <m/>
    <s v="Used EPA EAF 2010 testing program avge EF of  2.48e-4 lbs/ton steel and 2008 throughput provided by PA; apportioned via process specific throughputs provided by PA"/>
    <n v="163"/>
    <n v="13"/>
    <m/>
    <m/>
  </r>
  <r>
    <s v="42087"/>
    <s v="PA"/>
    <s v="Mifflin"/>
    <s v="PADEP"/>
    <s v="6581311"/>
    <s v="420870003"/>
    <s v="17009STNDR500WA"/>
    <s v="Steel Mill"/>
    <s v="Electric Arc Furnaces"/>
    <n v="75.264178000000001"/>
    <s v="R|2002"/>
    <m/>
    <m/>
    <s v="STD STEEL/BURNHAM"/>
    <s v="STD STEEL LLC"/>
    <s v="OP"/>
    <n v="2008"/>
    <s v="500 N WALNUT ST"/>
    <s v="BURNHAM"/>
    <s v=""/>
    <m/>
    <s v="SLT submitted Hg data but not for EAFs but rather for other processes. No TRI data.    Question:  Could SLT provide emissions/information or do we use NATA data?"/>
    <s v="NATA  "/>
    <s v="Agree"/>
    <s v="Verified; no Hg emissions were submitted to PA in 2008.  Please use EPA recommended NATA data."/>
    <m/>
    <m/>
    <m/>
    <x v="39"/>
    <m/>
    <n v="59.24"/>
    <x v="3"/>
    <x v="30"/>
    <n v="93125514"/>
    <n v="7439976"/>
    <m/>
    <m/>
    <s v="Used EPA EAF 2010 testing program avge EF of  2.48e-4 lbs/ton steel and 2008 throughput provided by PA; apportioned via process specific throughputs provided by PA"/>
    <n v="163"/>
    <n v="13"/>
    <m/>
    <m/>
  </r>
  <r>
    <s v="51770"/>
    <s v="VA"/>
    <s v="Roanoke city"/>
    <s v="VADEQ"/>
    <s v="6633511"/>
    <s v="20131"/>
    <s v="24017RNKLC102WE"/>
    <s v="Steel Mill"/>
    <s v="Electric Arc Furnaces"/>
    <n v="231.33145399999998"/>
    <s v="R|2002"/>
    <m/>
    <n v="0.23"/>
    <s v="RES dba Steel Dynamics Roanoke Bar Division"/>
    <s v="RES dba Steel Dynamics Roanoke Bar Division"/>
    <s v="OP"/>
    <n v="2008"/>
    <s v="102 Westside Blvd Nw"/>
    <s v="Roanoke"/>
    <s v=""/>
    <m/>
    <s v="TRI data, but no EIS data"/>
    <s v="TRI 2008"/>
    <m/>
    <s v="none reported"/>
    <m/>
    <m/>
    <m/>
    <x v="40"/>
    <m/>
    <m/>
    <x v="2"/>
    <x v="0"/>
    <n v="851414"/>
    <n v="7439976"/>
    <s v="TRI 2008, pick one EAF process, SCC=30300908 "/>
    <d v="2011-09-19T00:00:00"/>
    <s v="2008 TRI, assigned to 1 process with EAF SCC"/>
    <n v="44"/>
    <n v="2"/>
    <m/>
    <m/>
  </r>
  <r>
    <s v="48183"/>
    <s v="TX"/>
    <s v="Gregg"/>
    <s v="TXCEQ"/>
    <s v="6641511"/>
    <s v="10"/>
    <s v="75601MRTHN2400S"/>
    <s v="Steel Mill"/>
    <s v="Electric Arc Furnaces"/>
    <n v="40.40155"/>
    <s v="R|2002"/>
    <m/>
    <m/>
    <s v="LONGVIEW DIVISION"/>
    <s v="LE TOURNEAU TECHNOLOGIES INC"/>
    <s v="OP"/>
    <n v="1980"/>
    <s v="2400 S MCARTHUR ST"/>
    <s v="LONGVIEW"/>
    <s v=""/>
    <m/>
    <s v="No TRI but there are EAF SCCS.   Question:  Could SLT provide emissions/information or do we use NATA data?"/>
    <s v="NATA  "/>
    <s v="Agree"/>
    <s v="pulled the 2008 production data for the 2 mills below.  Using the 0.00025 factor the calcualted emissions are not much different then the NATA data.  So for these 2 I would say it's your choise as to which to use.  They are both acceptable to me"/>
    <m/>
    <m/>
    <m/>
    <x v="41"/>
    <m/>
    <n v="30.24"/>
    <x v="3"/>
    <x v="31"/>
    <n v="8166214"/>
    <n v="7439976"/>
    <m/>
    <m/>
    <s v="Used EPA EAF 2010 testing program avge EF of  2.48e-4 lbs/ton steel and 2008 throughput provided by TX; apportioned to processes w/SCC 30300904 based on Pb"/>
    <n v="155"/>
    <n v="13"/>
    <m/>
    <m/>
  </r>
  <r>
    <s v="48183"/>
    <s v="TX"/>
    <s v="Gregg"/>
    <s v="TXCEQ"/>
    <s v="6641511"/>
    <s v="10"/>
    <s v="75601MRTHN2400S"/>
    <s v="Steel Mill"/>
    <s v="Electric Arc Furnaces"/>
    <n v="40.40155"/>
    <s v="R|2002"/>
    <m/>
    <m/>
    <s v="LONGVIEW DIVISION"/>
    <s v="LE TOURNEAU TECHNOLOGIES INC"/>
    <s v="OP"/>
    <n v="1980"/>
    <s v="2400 S MCARTHUR ST"/>
    <s v="LONGVIEW"/>
    <s v=""/>
    <m/>
    <s v="No TRI but there are EAF SCCS.   Question:  Could SLT provide emissions/information or do we use NATA data?"/>
    <s v="NATA  "/>
    <s v="Agree"/>
    <s v="pulled the 2008 production data for the 2 mills below.  Using the 0.00025 factor the calcualted emissions are not much different then the NATA data.  So for these 2 I would say it's your choise as to which to use.  They are both acceptable to me"/>
    <m/>
    <m/>
    <m/>
    <x v="41"/>
    <m/>
    <n v="30.24"/>
    <x v="3"/>
    <x v="31"/>
    <n v="8408814"/>
    <n v="7439976"/>
    <m/>
    <m/>
    <s v="Used EPA EAF 2010 testing program avge EF of  2.48e-4 lbs/ton steel and 2008 throughput provided by TX; apportioned to processes w/SCC 30300904 based on Pb"/>
    <n v="155"/>
    <n v="13"/>
    <m/>
    <m/>
  </r>
  <r>
    <s v="48183"/>
    <s v="TX"/>
    <s v="Gregg"/>
    <s v="TXCEQ"/>
    <s v="6641511"/>
    <s v="10"/>
    <s v="75601MRTHN2400S"/>
    <s v="Steel Mill"/>
    <s v="Electric Arc Furnaces"/>
    <n v="40.40155"/>
    <s v="R|2002"/>
    <m/>
    <m/>
    <s v="LONGVIEW DIVISION"/>
    <s v="LE TOURNEAU TECHNOLOGIES INC"/>
    <s v="OP"/>
    <n v="1980"/>
    <s v="2400 S MCARTHUR ST"/>
    <s v="LONGVIEW"/>
    <s v=""/>
    <m/>
    <s v="No TRI but there are EAF SCCS.   Question:  Could SLT provide emissions/information or do we use NATA data?"/>
    <s v="NATA  "/>
    <s v="Agree"/>
    <s v="pulled the 2008 production data for the 2 mills below.  Using the 0.00025 factor the calcualted emissions are not much different then the NATA data.  So for these 2 I would say it's your choise as to which to use.  They are both acceptable to me"/>
    <m/>
    <m/>
    <m/>
    <x v="41"/>
    <m/>
    <n v="30.24"/>
    <x v="3"/>
    <x v="1"/>
    <n v="8460914"/>
    <n v="7439976"/>
    <m/>
    <m/>
    <s v="Used EPA EAF 2010 testing program avge EF of  2.48e-4 lbs/ton steel and 2008 throughput provided by TX; apportioned to processes w/SCC 30300904 based on Pb"/>
    <n v="155"/>
    <n v="13"/>
    <m/>
    <m/>
  </r>
  <r>
    <s v="48183"/>
    <s v="TX"/>
    <s v="Gregg"/>
    <s v="TXCEQ"/>
    <s v="6641511"/>
    <s v="10"/>
    <s v="75601MRTHN2400S"/>
    <s v="Steel Mill"/>
    <s v="Electric Arc Furnaces"/>
    <n v="40.40155"/>
    <s v="R|2002"/>
    <m/>
    <m/>
    <s v="LONGVIEW DIVISION"/>
    <s v="LE TOURNEAU TECHNOLOGIES INC"/>
    <s v="OP"/>
    <n v="1980"/>
    <s v="2400 S MCARTHUR ST"/>
    <s v="LONGVIEW"/>
    <s v=""/>
    <m/>
    <s v="No TRI but there are EAF SCCS.   Question:  Could SLT provide emissions/information or do we use NATA data?"/>
    <s v="NATA  "/>
    <s v="Agree"/>
    <s v="pulled the 2008 production data for the 2 mills below.  Using the 0.00025 factor the calcualted emissions are not much different then the NATA data.  So for these 2 I would say it's your choise as to which to use.  They are both acceptable to me"/>
    <m/>
    <m/>
    <m/>
    <x v="41"/>
    <m/>
    <n v="30.24"/>
    <x v="3"/>
    <x v="1"/>
    <n v="97671514"/>
    <n v="7439976"/>
    <m/>
    <m/>
    <s v="Used EPA EAF 2010 testing program avge EF of  2.48e-4 lbs/ton steel and 2008 throughput provided by TX; apportioned to processes w/SCC 30300904 based on Pb"/>
    <n v="155"/>
    <n v="13"/>
    <m/>
    <m/>
  </r>
  <r>
    <s v="51053"/>
    <s v="VA"/>
    <s v="Dinwiddie"/>
    <s v="VADEQ"/>
    <s v="6742911"/>
    <s v="51264"/>
    <s v="23803CHPRR25801"/>
    <s v="Steel Mill"/>
    <s v="Electric Arc Furnaces"/>
    <n v="382.86500000000001"/>
    <s v="S|2005"/>
    <n v="1068.24"/>
    <n v="72"/>
    <s v="Chaparral Virginia Incorporated"/>
    <s v="Chaparral Virginia Incorporated"/>
    <s v="OP"/>
    <n v="2008"/>
    <s v="25801 Hofheimer Way"/>
    <s v="Petersburg"/>
    <s v=""/>
    <m/>
    <s v="SLT submitted Hg data. &gt;200% difference between EIS and TRI.  State reported large Hg from EAF and calc method is site specific emission factor.  Please explain difference.  Is TRI an overestimate?"/>
    <s v="SLT 2008"/>
    <s v="state updated value in gateway 9/18"/>
    <m/>
    <m/>
    <m/>
    <m/>
    <x v="42"/>
    <s v="YES"/>
    <m/>
    <x v="1"/>
    <x v="1"/>
    <m/>
    <n v="7439976"/>
    <m/>
    <d v="2011-09-19T00:00:00"/>
    <s v="SLT revised SLT emissions in gateway (slightly lower)"/>
    <n v="53"/>
    <m/>
    <m/>
    <m/>
  </r>
  <r>
    <s v="27123"/>
    <s v="MN"/>
    <s v="Ramsey"/>
    <s v="MNPCA"/>
    <s v="7146811"/>
    <s v="2712300055"/>
    <s v="55119NRTHS1678R"/>
    <s v="Steel Mill"/>
    <s v="Electric Arc Furnaces"/>
    <n v="274.66537600000004"/>
    <s v="R|2002"/>
    <n v="131.1565839136"/>
    <n v="131"/>
    <s v="Gerdau Ameristeel US Inc - St Paul Mill"/>
    <s v="Na"/>
    <s v="OP"/>
    <n v="2008"/>
    <s v="1678 Red Rock Rd"/>
    <s v="ST. PAUL"/>
    <n v="57.525636372255327"/>
    <s v="Ger-StPaul-MN"/>
    <s v="SLT submitted Hg data which is higher than the EPA rule test data"/>
    <s v="SLT 2008"/>
    <s v="disagreed"/>
    <s v="EMAIL:  10/19/2011We agree EPA's emission factor. But the steel production for 2008 based on our record were 452,839 Tons. Therefore, the emissions were 104.18 lb for 2008. I already made changes in the 2008 NEI. Please let me know if you have questions."/>
    <m/>
    <m/>
    <m/>
    <x v="43"/>
    <s v="YES"/>
    <m/>
    <x v="1"/>
    <x v="1"/>
    <m/>
    <n v="7439976"/>
    <m/>
    <m/>
    <m/>
    <n v="0"/>
    <m/>
    <m/>
    <m/>
  </r>
  <r>
    <s v="27123"/>
    <s v="MN"/>
    <s v="Ramsey"/>
    <s v="MNPCA"/>
    <s v="7146811"/>
    <s v="2712300055"/>
    <s v="55119NRTHS1678R"/>
    <s v="Steel Mill"/>
    <s v="Electric Arc Furnaces"/>
    <n v="274.66537600000004"/>
    <s v="R|2002"/>
    <n v="131.1565839136"/>
    <n v="131"/>
    <s v="Gerdau Ameristeel US Inc - St Paul Mill"/>
    <s v="Na"/>
    <s v="OP"/>
    <n v="2008"/>
    <s v="1678 Red Rock Rd"/>
    <s v="ST. PAUL"/>
    <n v="57.525636372255327"/>
    <s v="Ger-StPaul-MN"/>
    <s v="SLT submitted Hg data which is higher than the EPA rule test data"/>
    <s v="SLT 2008"/>
    <s v="disagreed"/>
    <s v="EMAIL:  10/19/2011We agree EPA's emission factor. But the steel production for 2008 based on our record were 452,839 Tons. Therefore, the emissions were 104.18 lb for 2008. I already made changes in the 2008 NEI. Please let me know if you have questions."/>
    <m/>
    <m/>
    <m/>
    <x v="43"/>
    <s v="YES"/>
    <m/>
    <x v="0"/>
    <x v="0"/>
    <n v="27576114"/>
    <n v="7439976"/>
    <m/>
    <m/>
    <s v="EPA EAF  ICR data based on 2010 emissions testing and recorded steel production rates, resulting EF applied to 2009 steel production (Donna Lee Jones, EPA/OAQPS/SPPD)"/>
    <n v="166"/>
    <n v="10"/>
    <m/>
    <m/>
  </r>
  <r>
    <s v="31167"/>
    <s v="NE"/>
    <s v="Stanton"/>
    <s v="NEDEQ"/>
    <s v="7286511"/>
    <s v="00002"/>
    <s v="68701NCRSTRURAL"/>
    <s v="Steel Mill"/>
    <s v="Electric Arc Furnaces"/>
    <n v="170"/>
    <s v="T|2005"/>
    <s v=" "/>
    <n v="330.05"/>
    <s v="Nucor Steel"/>
    <s v="Na"/>
    <s v="OP"/>
    <n v="2006"/>
    <s v="2911 E Nucor Rd"/>
    <s v="Norfolk"/>
    <n v="163"/>
    <s v="Nucor-Norfolk-NE"/>
    <s v="SLT submitted Hg data for a solvent evap process (0 tons) so there is no SLT data.   Use EPA rule data and assign to unit=8557013  and process =21280714.  Also request that the SCC for the EAF change from 3999999 to an EAF SCC"/>
    <s v="EPA RULE DATA "/>
    <s v="Agree"/>
    <s v="(per phone conversation 10/10/2011) -- since EPA has updated information, it can be used.  Also  Dave Brown provided  an updated SCC for this process for EPA to batch submit into EIS"/>
    <m/>
    <m/>
    <m/>
    <x v="44"/>
    <s v="NO"/>
    <m/>
    <x v="0"/>
    <x v="0"/>
    <n v="21280714"/>
    <n v="7439976"/>
    <s v="1 EAF at facility"/>
    <d v="2011-10-20T00:00:00"/>
    <s v="EPA EAF  ICR data based on 2010 emissions testing and recorded steel production rates, resulting EF applied to 2009 steel production (Donna Lee Jones, EPA/OAQPS/SPPD)"/>
    <n v="166"/>
    <n v="10"/>
    <m/>
    <m/>
  </r>
  <r>
    <s v="28121"/>
    <s v="MS"/>
    <s v="Rankin"/>
    <s v="MSDEQ"/>
    <s v="7290011"/>
    <s v="2812100003"/>
    <s v="39208BSCSTFOURT"/>
    <s v="Steel Mill"/>
    <s v="Electric Arc Furnaces"/>
    <n v="163.50947599999998"/>
    <s v="R|2002, S|2005"/>
    <n v="0.4"/>
    <n v="61.04"/>
    <s v="Nucor Steel Jackson  Inc"/>
    <s v="AI002343"/>
    <s v="OP"/>
    <n v="2008"/>
    <s v="3630 4th Street"/>
    <s v="Flowood"/>
    <s v=""/>
    <m/>
    <s v="SLT submitted Hg data. &gt;200% difference between EIS and TRI.  Not sure why state lower. SLT reported under EAF SCC.  2005 used combination of state data and 2002 rule data."/>
    <s v="SLT 2008"/>
    <m/>
    <m/>
    <m/>
    <m/>
    <m/>
    <x v="45"/>
    <m/>
    <m/>
    <x v="1"/>
    <x v="17"/>
    <n v="27858914"/>
    <n v="7439976"/>
    <s v=" "/>
    <m/>
    <m/>
    <n v="0"/>
    <m/>
    <s v="state didn't know.  Used SLT value"/>
    <m/>
  </r>
  <r>
    <s v="18067"/>
    <s v="IN"/>
    <s v="Howard"/>
    <s v="INDEM"/>
    <s v="7361711"/>
    <s v="00009"/>
    <s v="46902HYNSN1020W"/>
    <s v="Steel Mill"/>
    <s v="Electric Arc Furnaces"/>
    <n v="7.4837112000000001"/>
    <s v="R|2002"/>
    <m/>
    <m/>
    <s v="Haynes International  Inc"/>
    <s v=""/>
    <s v="OP"/>
    <n v="2008"/>
    <s v="2000 West Deffenbaugh Street"/>
    <s v="Kokomo"/>
    <s v=""/>
    <m/>
    <s v="No EIS or TRI Hg data. EAF scc = 30401007.   Question:  Could SLT provide emissions/information or do we use NATA data?"/>
    <s v="NATA  "/>
    <s v="Disagree"/>
    <s v="Not a scrap metal melting EAF. "/>
    <s v="0 LBS"/>
    <s v="005"/>
    <s v="01"/>
    <x v="46"/>
    <m/>
    <m/>
    <x v="4"/>
    <x v="1"/>
    <m/>
    <n v="7439976"/>
    <m/>
    <d v="2011-10-13T00:00:00"/>
    <m/>
    <n v="0"/>
    <m/>
    <m/>
    <m/>
  </r>
  <r>
    <s v="18033"/>
    <s v="IN"/>
    <s v="De Kalb"/>
    <s v="INDEM"/>
    <s v="7376911"/>
    <s v="00043"/>
    <s v="46721STLDY4500C"/>
    <s v="Steel Mill"/>
    <s v="Electric Arc Furnaces"/>
    <n v="0.97745599999999999"/>
    <s v="R|2002"/>
    <m/>
    <n v="0.8"/>
    <s v="Steel Dynamics  Inc"/>
    <s v="Na"/>
    <s v="OP"/>
    <n v="2008"/>
    <s v="4500 CR 59"/>
    <s v="Butler"/>
    <n v="139.28959709316962"/>
    <s v="Steel Dynamics-Butler-IN"/>
    <s v="EIS emissions used TRI (not state data) so replace with EPA Rule data"/>
    <s v="EPA RULE DATA "/>
    <s v="EST or EPA RULE DATA"/>
    <s v="Estimate based on 2010 stack test and 2008  (Fuel Process Rate (Throughput))FPRT."/>
    <s v="120 LBS"/>
    <s v="001"/>
    <s v="01"/>
    <x v="47"/>
    <m/>
    <n v="120"/>
    <x v="3"/>
    <x v="0"/>
    <n v="124007314"/>
    <n v="7439976"/>
    <s v=" "/>
    <d v="2011-10-13T00:00:00"/>
    <s v="INDEP used facility-specific EPA EAF  ICR data based on 2010 emissions testing and recorded steel production rates, resulting EF applied to 2008 steel production "/>
    <n v="162"/>
    <n v="4"/>
    <m/>
    <m/>
  </r>
  <r>
    <s v="18033"/>
    <s v="IN"/>
    <s v="De Kalb"/>
    <s v="INDEM"/>
    <s v="7376911"/>
    <s v="00043"/>
    <s v="46721STLDY4500C"/>
    <s v="Steel Mill"/>
    <s v="Electric Arc Furnaces"/>
    <n v="0.97745599999999999"/>
    <s v="R|2002"/>
    <m/>
    <n v="0.8"/>
    <s v="Steel Dynamics  Inc"/>
    <s v="Na"/>
    <s v="OP"/>
    <n v="2008"/>
    <s v="4500 CR 59"/>
    <s v="Butler"/>
    <n v="139.28959709316962"/>
    <s v="Steel Dynamics-Butler-IN"/>
    <s v="EIS emissions used TRI (not state data) so replace with EPA Rule data"/>
    <s v="EPA RULE DATA "/>
    <s v="EST or EPA RULE DATA"/>
    <s v="Estimate based on 2010 stack test and 2008  (Fuel Process Rate (Throughput))FPRT."/>
    <s v="120 LBS"/>
    <s v="001"/>
    <s v="01"/>
    <x v="47"/>
    <m/>
    <n v="120"/>
    <x v="0"/>
    <x v="0"/>
    <n v="124007314"/>
    <n v="7439976"/>
    <s v=" "/>
    <d v="2011-10-13T00:00:00"/>
    <s v="INDEP used facility-specific EPA EAF  ICR data based on 2010 emissions testing and recorded steel production rates, resulting EF applied to 2008 steel production "/>
    <n v="162"/>
    <n v="10"/>
    <m/>
    <m/>
  </r>
  <r>
    <s v="41071"/>
    <s v="OR"/>
    <s v="Yamhill"/>
    <s v="ORDEQ"/>
    <s v="7410711"/>
    <s v="36-5034"/>
    <s v="97128CSCDS3200N"/>
    <s v="Steel Mill"/>
    <s v="Electric Arc Furnaces"/>
    <n v="49.4"/>
    <s v="S|2005"/>
    <m/>
    <m/>
    <s v="Cascade Steel Rolling Mills, Inc."/>
    <s v="Cascade Steel Rolling Mills, Inc."/>
    <s v="OP"/>
    <n v="1980"/>
    <s v="3200 N HWY 99W"/>
    <s v="MCMINNVILLE"/>
    <s v=""/>
    <m/>
    <s v="No EIS or TRI Hg data EAF scc = 30300904     Question:  Could SLT provide emissions/information or do we use NATA data?"/>
    <s v="NATA  "/>
    <m/>
    <m/>
    <n v="47.914000000000001"/>
    <s v="PS-1"/>
    <s v="P-1"/>
    <x v="48"/>
    <s v="NO"/>
    <n v="48.3416"/>
    <x v="3"/>
    <x v="32"/>
    <n v="94224914"/>
    <n v="7439976"/>
    <m/>
    <m/>
    <s v="provided by OR for EAF:0.00007 lbsHg/ton EF; and 684491.4 tons metal throughput"/>
    <n v="79"/>
    <n v="9"/>
    <m/>
    <m/>
  </r>
  <r>
    <s v="41071"/>
    <s v="OR"/>
    <s v="Yamhill"/>
    <s v="ORDEQ"/>
    <s v="7410711"/>
    <s v="36-5034"/>
    <s v="97128CSCDS3200N"/>
    <s v="Steel Mill"/>
    <s v="Electric Arc Furnaces"/>
    <n v="49.4"/>
    <s v="S|2005"/>
    <m/>
    <m/>
    <s v="Cascade Steel Rolling Mills, Inc."/>
    <s v="Cascade Steel Rolling Mills, Inc."/>
    <s v="OP"/>
    <n v="1980"/>
    <s v="3200 N HWY 99W"/>
    <s v="MCMINNVILLE"/>
    <s v=""/>
    <m/>
    <s v="No EIS or TRI Hg data EAF scc = 30300904     Question:  Could SLT provide emissions/information or do we use NATA data?"/>
    <s v="NATA  "/>
    <m/>
    <m/>
    <n v="2.2100000000000002E-2"/>
    <n v="23"/>
    <n v="2"/>
    <x v="48"/>
    <s v="NO"/>
    <n v="48.3416"/>
    <x v="3"/>
    <x v="33"/>
    <n v="17309314"/>
    <n v="7439976"/>
    <m/>
    <m/>
    <s v="provided by OR for EU-2 Melt Shop Dust Handling 0.00000158lbs/ton and 13970.56 tons dust"/>
    <n v="88"/>
    <n v="9"/>
    <m/>
    <m/>
  </r>
  <r>
    <s v="41071"/>
    <s v="OR"/>
    <s v="Yamhill"/>
    <s v="ORDEQ"/>
    <s v="7410711"/>
    <s v="36-5034"/>
    <s v="97128CSCDS3200N"/>
    <s v="Steel Mill"/>
    <s v="Electric Arc Furnaces"/>
    <n v="49.4"/>
    <s v="S|2005"/>
    <m/>
    <m/>
    <s v="Cascade Steel Rolling Mills, Inc."/>
    <s v="Cascade Steel Rolling Mills, Inc."/>
    <s v="OP"/>
    <n v="1980"/>
    <s v="3200 N HWY 99W"/>
    <s v="MCMINNVILLE"/>
    <s v=""/>
    <m/>
    <s v="No EIS or TRI Hg data EAF scc = 30300904     Question:  Could SLT provide emissions/information or do we use NATA data?"/>
    <s v="NATA  "/>
    <m/>
    <m/>
    <n v="0.1615"/>
    <s v="PS-2"/>
    <s v="P-1"/>
    <x v="48"/>
    <s v="NO"/>
    <n v="48.3416"/>
    <x v="3"/>
    <x v="34"/>
    <n v="17310414"/>
    <n v="7439976"/>
    <m/>
    <m/>
    <s v="provided by OR for EU-3 Melt Shop Roof &amp; Other Openings 0.000000236lbs/ton metal and 684491.4 tons metal"/>
    <n v="104"/>
    <n v="9"/>
    <m/>
    <m/>
  </r>
  <r>
    <s v="41071"/>
    <s v="OR"/>
    <s v="Yamhill"/>
    <s v="ORDEQ"/>
    <s v="7410711"/>
    <s v="36-5034"/>
    <s v="97128CSCDS3200N"/>
    <s v="Steel Mill"/>
    <s v="Electric Arc Furnaces"/>
    <n v="49.4"/>
    <s v="S|2005"/>
    <m/>
    <m/>
    <s v="Cascade Steel Rolling Mills, Inc."/>
    <s v="Cascade Steel Rolling Mills, Inc."/>
    <s v="OP"/>
    <n v="1980"/>
    <s v="3200 N HWY 99W"/>
    <s v="MCMINNVILLE"/>
    <s v=""/>
    <m/>
    <s v="No EIS or TRI Hg data EAF scc = 30300904     Question:  Could SLT provide emissions/information or do we use NATA data?"/>
    <s v="NATA  "/>
    <m/>
    <m/>
    <n v="8.8999999999999996E-2"/>
    <s v="PS-3 "/>
    <s v="P-1"/>
    <x v="48"/>
    <s v="NO"/>
    <n v="48.3416"/>
    <x v="3"/>
    <x v="35"/>
    <n v="94225014"/>
    <n v="7439976"/>
    <m/>
    <m/>
    <s v="provided by OR for  Reheat Furnace 1 (NG sources)  0.00000026 lbs/MMBTU and 344115.8 MMBtu"/>
    <n v="90"/>
    <n v="9"/>
    <m/>
    <m/>
  </r>
  <r>
    <s v="41071"/>
    <s v="OR"/>
    <s v="Yamhill"/>
    <s v="ORDEQ"/>
    <s v="7410711"/>
    <s v="36-5034"/>
    <s v="97128CSCDS3200N"/>
    <s v="Steel Mill"/>
    <s v="Electric Arc Furnaces"/>
    <n v="49.4"/>
    <s v="S|2005"/>
    <m/>
    <m/>
    <s v="Cascade Steel Rolling Mills, Inc."/>
    <s v="Cascade Steel Rolling Mills, Inc."/>
    <s v="OP"/>
    <n v="1980"/>
    <s v="3200 N HWY 99W"/>
    <s v="MCMINNVILLE"/>
    <s v=""/>
    <m/>
    <s v="No EIS or TRI Hg data EAF scc = 30300904     Question:  Could SLT provide emissions/information or do we use NATA data?"/>
    <s v="NATA  "/>
    <m/>
    <m/>
    <n v="0.155"/>
    <s v="PS-4"/>
    <s v="P-1"/>
    <x v="48"/>
    <s v="NO"/>
    <n v="48.3416"/>
    <x v="3"/>
    <x v="36"/>
    <n v="94225114"/>
    <n v="7439976"/>
    <m/>
    <m/>
    <s v="provided by OR for  Reheat Furnace 2 (NG sources)  0.00000026 lbs/MMBTU and 595309.19 MMBtu"/>
    <n v="91"/>
    <n v="9"/>
    <m/>
    <m/>
  </r>
  <r>
    <s v="49003"/>
    <s v="UT"/>
    <s v="Box Elder"/>
    <s v="UTDAQ"/>
    <s v="7427611"/>
    <s v="10008"/>
    <s v="84330NCRST7285W"/>
    <s v="Steel Mill"/>
    <s v="Electric Arc Furnaces"/>
    <n v="110.2"/>
    <s v="T|2005"/>
    <m/>
    <n v="112.3"/>
    <s v="Nucor Bar Mill Group - Plymouth Division"/>
    <s v="Nucor Steel"/>
    <s v="OP"/>
    <n v="2008"/>
    <s v="West Cemetery Rd"/>
    <s v="Plymouth"/>
    <n v="174.33000679364469"/>
    <s v="Nucor-Plymouth-UT"/>
    <s v="No SLT data reported for the EAF.  Use EPA rule data"/>
    <s v="EPA RULE DATA "/>
    <s v="Disagree"/>
    <s v="Emissions based on 2010 testing done by Nucor Steel; Hg EF: 0.000283 lbs/ton of steel.  [equation: 2008 thruput of 1,108,960 tons of steel * 0.000283 lbs/ton of steel = 313.45 lbs Mercury.]  Nucor Steel was a participant in the 2010 EPA study to determine mercury emissions from steel plants."/>
    <n v="313.45"/>
    <n v="1457"/>
    <n v="1"/>
    <x v="49"/>
    <s v="NO"/>
    <n v="313.45"/>
    <x v="3"/>
    <x v="0"/>
    <n v="513714"/>
    <n v="7439976"/>
    <m/>
    <m/>
    <s v="2010 EAF testing 2008 thruput  from UT- Nucor Steel participated in 2010 EPA study to determine Hg emissions from steel plants. Hg EF: 0.000283 lbs/ton of steel.  eqn: 2008 thruput of 1,108,960 tons steel*0.000283 lbs/ton of steel = 313.45 lbs Hg. "/>
    <n v="248"/>
    <n v="4"/>
    <m/>
    <m/>
  </r>
  <r>
    <s v="49003"/>
    <s v="UT"/>
    <s v="Box Elder"/>
    <s v="UTDAQ"/>
    <s v="7427611"/>
    <s v="10008"/>
    <s v="84330NCRST7285W"/>
    <s v="Steel Mill"/>
    <s v="Electric Arc Furnaces"/>
    <n v="110.2"/>
    <s v="T|2005"/>
    <m/>
    <n v="112.3"/>
    <s v="Nucor Bar Mill Group - Plymouth Division"/>
    <s v="Nucor Steel"/>
    <s v="OP"/>
    <n v="2008"/>
    <s v="West Cemetery Rd"/>
    <s v="Plymouth"/>
    <n v="174.33000679364469"/>
    <s v="Nucor-Plymouth-UT"/>
    <s v="No SLT data reported for the EAF.  Use EPA rule data"/>
    <s v="EPA RULE DATA "/>
    <s v="Disagree"/>
    <s v="Emissions based on 2010 testing done by Nucor Steel; Hg EF: 0.000283 lbs/ton of steel.  [equation: 2008 thruput of 1,108,960 tons of steel * 0.000283 lbs/ton of steel = 313.45 lbs Mercury.]  Nucor Steel was a participant in the 2010 EPA study to determine mercury emissions from steel plants."/>
    <n v="313.45"/>
    <n v="1457"/>
    <n v="1"/>
    <x v="49"/>
    <s v="NO"/>
    <s v=" "/>
    <x v="0"/>
    <x v="0"/>
    <n v="513714"/>
    <n v="7439976"/>
    <m/>
    <m/>
    <s v="EPA EAF  ICR data based on 2010 emissions testing and recorded steel production rates, resulting EF applied to 2009 steel production (Donna Lee Jones, EPA/OAQPS/SPPD)"/>
    <n v="166"/>
    <n v="10"/>
    <m/>
    <m/>
  </r>
  <r>
    <s v="21077"/>
    <s v="KY"/>
    <s v="Gallatin"/>
    <s v="KYDAQ"/>
    <s v="7430011"/>
    <s v="2107700018"/>
    <s v="41096GLLTNUS42W"/>
    <s v="Steel Mill"/>
    <s v="Electric Arc Furnaces"/>
    <n v="488.72842600000001"/>
    <s v="R|2002"/>
    <m/>
    <m/>
    <s v="Gallatin Steel Co"/>
    <s v="Na"/>
    <s v="OP"/>
    <n v="2008"/>
    <s v="4831 US 42 W"/>
    <s v="Ghent"/>
    <s v=""/>
    <m/>
    <s v="No EIS or TRI Hg data. Are there EAFs at this facility? Request state confirm that there are either no EAFs or EPA  will use NATA2005 emissions."/>
    <s v="NATA  "/>
    <s v="Disagree"/>
    <s v="Per KYDAQ permit V-08-027 R2, there is 1(one) EAF at this facility.  Lacking any additional information, KYDAQ used the 2008 annual thruput reported and the AP-42 emission factor."/>
    <s v="171.1 lbs Hg"/>
    <s v="&quot;0E1&quot;"/>
    <s v="&quot;1&quot;"/>
    <x v="50"/>
    <m/>
    <m/>
    <x v="1"/>
    <x v="1"/>
    <m/>
    <n v="7439976"/>
    <m/>
    <m/>
    <m/>
    <n v="0"/>
    <m/>
    <s v="Yes and sate reported emissions on 10/11/2011"/>
    <m/>
  </r>
  <r>
    <s v="39101"/>
    <s v="OH"/>
    <s v="Marion"/>
    <s v="OHEPA"/>
    <s v="7434211"/>
    <s v="0351010017"/>
    <s v="43302MRNST912CH"/>
    <s v="Steel Mill"/>
    <s v="Electric Arc Furnaces"/>
    <n v="2"/>
    <s v="T|2005"/>
    <m/>
    <n v="24.939999999999998"/>
    <s v="Nucor Steel Marion, Inc. (0351010017)"/>
    <s v="Na"/>
    <s v="OP"/>
    <n v="1996"/>
    <s v="912 Cheney Avenue"/>
    <s v="Marion"/>
    <s v=""/>
    <m/>
    <s v="No SLT data; only TRI."/>
    <s v="TRI 2008"/>
    <s v="Agree - per phone call of 10/24/2011"/>
    <m/>
    <m/>
    <m/>
    <m/>
    <x v="51"/>
    <m/>
    <m/>
    <x v="2"/>
    <x v="0"/>
    <n v="100691614"/>
    <n v="7439976"/>
    <s v=" "/>
    <d v="2011-10-24T00:00:00"/>
    <s v="2008TRI; assigned to only process with EAF SCC"/>
    <n v="46"/>
    <n v="2"/>
    <m/>
    <m/>
  </r>
  <r>
    <s v="36067"/>
    <s v="NY"/>
    <s v="Onondaga"/>
    <s v=""/>
    <s v="7436511"/>
    <s v=""/>
    <s v="13209CRCBLSTATE"/>
    <s v="Steel Mill"/>
    <s v="Electric Arc Furnaces"/>
    <n v="16.290948"/>
    <s v="R|2002"/>
    <m/>
    <m/>
    <s v="Crucible Materials Corp"/>
    <s v="Na"/>
    <s v="OP"/>
    <n v="2008"/>
    <s v="575 State Fair Blvd."/>
    <s v="Solvay"/>
    <s v=""/>
    <m/>
    <s v="No EIS or TRI Hg data. This facility has no emissions submitted by SLT.  Is this facility operating?  Request state confirm that there are either no EAFs or we will use NATA2005"/>
    <s v="NATA  "/>
    <s v="when we discussed coke ovens it was agreed to use NATA as is"/>
    <m/>
    <m/>
    <m/>
    <m/>
    <x v="52"/>
    <s v="NO"/>
    <m/>
    <x v="5"/>
    <x v="0"/>
    <n v="21201914"/>
    <n v="7439976"/>
    <m/>
    <d v="2011-09-28T00:00:00"/>
    <s v="NATA2005 carried forward; no program system code - NY cannot provide any info on this facility; is ok with pulling forward the NATA value which is based on 2002 Residual Risk data"/>
    <n v="179"/>
    <n v="2"/>
    <s v="This permit may provide a number that NY can use to find facility.  Has very high TRI emissions for chromium, so need t o alert Carlow this may be high risk.  http://www.dec.ny.gov/dardata/boss/afs/permits/731320000700021.pdf"/>
    <m/>
  </r>
  <r>
    <s v="53033"/>
    <s v="WA"/>
    <s v="King"/>
    <s v="WAPSCAA"/>
    <s v="7503711"/>
    <s v="10281"/>
    <s v="98106SLMNB2424S"/>
    <s v="Steel Mill"/>
    <s v="Electric Arc Furnaces"/>
    <n v="69.87"/>
    <s v="T|2005"/>
    <m/>
    <n v="69"/>
    <s v="Nucor Steel Seattle Inc"/>
    <s v="Na"/>
    <s v="OP"/>
    <n v="2009"/>
    <s v="2424 SW Andover St"/>
    <s v="Seattle"/>
    <s v=""/>
    <m/>
    <s v="No SLT data; only TRI."/>
    <s v="TRI 2008"/>
    <s v="Agree"/>
    <s v="voicemail message -- they are ok with TRI"/>
    <m/>
    <m/>
    <m/>
    <x v="53"/>
    <m/>
    <m/>
    <x v="2"/>
    <x v="37"/>
    <n v="2226614"/>
    <n v="7439976"/>
    <n v="5666"/>
    <d v="2011-10-26T00:00:00"/>
    <s v="2008TRI; assigned to processes with EAF SCC based on PM-FIL"/>
    <n v="59"/>
    <n v="2"/>
    <m/>
    <m/>
  </r>
  <r>
    <s v="53033"/>
    <s v="WA"/>
    <s v="King"/>
    <s v="WAPSCAA"/>
    <s v="7503711"/>
    <s v="10281"/>
    <s v="98106SLMNB2424S"/>
    <s v="Steel Mill"/>
    <s v="Electric Arc Furnaces"/>
    <n v="69.87"/>
    <s v="T|2005"/>
    <m/>
    <n v="69"/>
    <s v="Nucor Steel Seattle Inc"/>
    <s v="Na"/>
    <s v="OP"/>
    <n v="2009"/>
    <s v="2424 SW Andover St"/>
    <s v="Seattle"/>
    <s v=""/>
    <m/>
    <s v="No SLT data; only TRI."/>
    <s v="TRI 2008"/>
    <s v="Agree"/>
    <s v="voicemail message -- they are ok with TRI"/>
    <m/>
    <m/>
    <m/>
    <x v="53"/>
    <m/>
    <m/>
    <x v="2"/>
    <x v="38"/>
    <n v="2226714"/>
    <n v="7439976"/>
    <n v="8359"/>
    <m/>
    <s v="2008TRI; assigned to processes with EAF SCC based on PM-FIL"/>
    <n v="59"/>
    <n v="2"/>
    <m/>
    <m/>
  </r>
  <r>
    <s v="53033"/>
    <s v="WA"/>
    <s v="King"/>
    <s v="WAPSCAA"/>
    <s v="7503711"/>
    <s v="10281"/>
    <s v="98106SLMNB2424S"/>
    <s v="Steel Mill"/>
    <s v="Electric Arc Furnaces"/>
    <n v="69.87"/>
    <s v="T|2005"/>
    <m/>
    <n v="69"/>
    <s v="Nucor Steel Seattle Inc"/>
    <s v="Na"/>
    <s v="OP"/>
    <n v="2009"/>
    <s v="2424 SW Andover St"/>
    <s v="Seattle"/>
    <s v=""/>
    <m/>
    <s v="No SLT data; only TRI."/>
    <s v="TRI 2008"/>
    <s v="Agree"/>
    <s v="voicemail message -- they are ok with TRI"/>
    <m/>
    <m/>
    <m/>
    <x v="53"/>
    <m/>
    <m/>
    <x v="2"/>
    <x v="1"/>
    <n v="87675114"/>
    <n v="7439976"/>
    <n v="0"/>
    <m/>
    <s v="2008TRI; assigned to processes with EAF SCC based on PM-FIL"/>
    <n v="59"/>
    <n v="2"/>
    <m/>
    <m/>
  </r>
  <r>
    <s v="19139"/>
    <s v="IA"/>
    <s v="Muscatine"/>
    <s v="IADNR"/>
    <s v="7892311"/>
    <s v="70-08-002"/>
    <s v="52761PSCST1770B"/>
    <s v="Steel Mill"/>
    <s v="Electric Arc Furnaces"/>
    <n v="98.272999999999996"/>
    <s v="T|2005"/>
    <m/>
    <n v="92"/>
    <s v="SSAB IOWA, INC - MUSCATINE"/>
    <s v="Na"/>
    <s v="OP"/>
    <n v="2008"/>
    <s v="1770 BILL SHARP BLVD"/>
    <s v="MUSCATINE"/>
    <s v=""/>
    <m/>
    <s v="No SLT data; only TRI."/>
    <s v="TRI 2008"/>
    <s v="Agree"/>
    <s v="IDNR contacted the facility to confirm the mercury compound emissions from the EAF.  The facility acknowledged that leaving the mercury compound emissions out of the inventory was an oversight.  The mercury compound emissions included in their 2008 TRI report was estimated using the actual throughput (1,278,849 tons of steel) and the emission factor (0.000072 lbs/ton).  The emission factor was obtained from Table 4-5 of an EPA document titled &quot;Emergency Planning and Community Right-To-Know Act - Section 313: Guidance for Reporting Toxic Chemicals: Mercury and Mercury Compounds Category.&quot;"/>
    <n v="92.077128000000002"/>
    <n v="122164"/>
    <n v="96721"/>
    <x v="54"/>
    <m/>
    <m/>
    <x v="1"/>
    <x v="1"/>
    <n v="42583114"/>
    <n v="7439976"/>
    <s v="Nick Page submitted it 10/13"/>
    <s v="9/28/2011 updated 10/13/2011"/>
    <s v="TRI 2008 - assigned to the only EAF SCC at the facility"/>
    <n v="55"/>
    <m/>
    <s v="f11/15/2011-- it appears that there was rule data for this facility:  Gerdau-Wilton-IA that I didn't tell Iowa about."/>
    <s v="use this process for the other TRI HAPs at this facility"/>
  </r>
  <r>
    <s v="19139"/>
    <s v="IA"/>
    <s v="Muscatine"/>
    <s v="IADNR"/>
    <n v="7892211"/>
    <s v="70-03-003"/>
    <s v=" "/>
    <s v="Steel Mill"/>
    <s v="Electric Arc Furnaces"/>
    <s v=" "/>
    <s v=" "/>
    <m/>
    <s v=" "/>
    <s v="GERDAU AMERISTEEL US, INC"/>
    <s v="Na"/>
    <s v="OP"/>
    <n v="2008"/>
    <s v="1770 BILL SHARP BLVD"/>
    <s v="MUSCATINE"/>
    <n v="55.106037134527099"/>
    <s v="Gerdau-Wilton-IA "/>
    <s v=" "/>
    <s v="SLT 2008"/>
    <s v="not sent to state for their review"/>
    <s v=" "/>
    <s v=" "/>
    <s v=" "/>
    <s v=" "/>
    <x v="55"/>
    <m/>
    <m/>
    <x v="0"/>
    <x v="39"/>
    <n v="93745914"/>
    <n v="7439976"/>
    <s v=" "/>
    <d v="2011-11-15T00:00:00"/>
    <s v="EPA EAF  ICR data based on 2010 emissions testing and recorded steel production rates, resulting EF applied to 2009 steel production (Donna Lee Jones, EPA/OAQPS/SPPD), assigned to EAF processes based on state-reported Hg"/>
    <n v="220"/>
    <n v="10"/>
    <s v="f11/15/2011-- it appears that there was rule data for this facility:  Gerdau-Wilton-IA that I didn't tell Iowa about."/>
    <m/>
  </r>
  <r>
    <s v="19139"/>
    <s v="IA"/>
    <s v="Muscatine"/>
    <s v="IADNR"/>
    <n v="7892211"/>
    <s v="70-03-003"/>
    <s v=" "/>
    <s v="Steel Mill"/>
    <s v="Electric Arc Furnaces"/>
    <s v=" "/>
    <s v=" "/>
    <m/>
    <s v=" "/>
    <s v="GERDAU AMERISTEEL US, INC"/>
    <s v="Na"/>
    <s v="OP"/>
    <n v="2008"/>
    <s v="1770 BILL SHARP BLVD"/>
    <s v="MUSCATINE"/>
    <n v="55.106037134527099"/>
    <s v="Gerdau-Wilton-IA "/>
    <s v=" "/>
    <s v="SLT 2008"/>
    <s v="not sent to state for their review"/>
    <s v=" "/>
    <s v=" "/>
    <s v=" "/>
    <s v=" "/>
    <x v="55"/>
    <m/>
    <m/>
    <x v="0"/>
    <x v="40"/>
    <n v="93746014"/>
    <n v="7439976"/>
    <s v=" "/>
    <d v="2011-11-15T00:00:00"/>
    <s v="EPA EAF  ICR data based on 2010 emissions testing and recorded steel production rates, resulting EF applied to 2009 steel production (Donna Lee Jones, EPA/OAQPS/SPPD), assigned to EAF processes based on state-reported Hg"/>
    <n v="220"/>
    <n v="10"/>
    <s v="f11/15/2011-- it appears that there was rule data for this facility:  Gerdau-Wilton-IA that I didn't tell Iowa about."/>
    <s v="use this process for the other TRI HAPs at this facility"/>
  </r>
  <r>
    <s v="17143"/>
    <s v="IL"/>
    <s v="Peoria"/>
    <s v="ILEPA"/>
    <s v="7913311"/>
    <s v="143808AAA"/>
    <s v="61641KYSTN7000S"/>
    <s v="Steel Mill"/>
    <s v="Electric Arc Furnaces"/>
    <n v="329.46975000000003"/>
    <s v="R|2002, S|2005"/>
    <n v="0.18121679999999996"/>
    <n v="48"/>
    <s v="Keystone Steel &amp; Wire Co"/>
    <s v="Na"/>
    <s v="OP"/>
    <n v="2008"/>
    <s v="7000 SW Adams St"/>
    <s v="Peoria"/>
    <s v=""/>
    <m/>
    <s v="State reporting only from process heaters and nat gas fired boiler.  There is an EAF with emissions of CAPS and many  metal HAPs but not Hg.  Expect that  this process  should have Hg.  Process id = 86323214 (state id=01) AND 86323314 (02) under unit id = 60251613   _x000a_ (state id = 0045)_x000a_"/>
    <s v="TRI 2008"/>
    <s v="Agree, use 2008 TRI"/>
    <s v="2008 operating rate was 126.2581 tons/hr and 5158 hr/yr."/>
    <m/>
    <m/>
    <m/>
    <x v="56"/>
    <m/>
    <m/>
    <x v="2"/>
    <x v="0"/>
    <n v="86323214"/>
    <n v="7439976"/>
    <s v="from Strum:  TRI 2008, 2 EAF process, SCC=30300904, assign to the one with nonzero criteria emissions"/>
    <d v="2011-09-19T00:00:00"/>
    <s v="2008TRI, 2 EAF process, SCC=30300904, assign all TRI Hg to the one with nonzero criteria emissions"/>
    <n v="98"/>
    <n v="2"/>
    <m/>
    <m/>
  </r>
  <r>
    <s v="17143"/>
    <s v="IL"/>
    <s v="Peoria"/>
    <s v="ILEPA"/>
    <s v="7913311"/>
    <s v="143808AAA"/>
    <s v="61641KYSTN7000S"/>
    <s v="Steel Mill"/>
    <s v="Electric Arc Furnaces"/>
    <n v="329.46975000000003"/>
    <s v="R|2002, S|2005"/>
    <n v="0.18121679999999996"/>
    <n v="48"/>
    <s v="Keystone Steel &amp; Wire Co"/>
    <s v="Na"/>
    <s v="OP"/>
    <n v="2008"/>
    <s v="7000 SW Adams St"/>
    <s v="Peoria"/>
    <s v=""/>
    <m/>
    <s v="State reporting only from process heaters and nat gas fired boiler.  There is an EAF with emissions of CAPS and many  metal HAPs but not Hg.  Expect that  this process  should have Hg.  Process id = 86323214 (state id=01) AND 86323314 (02) under unit id = 60251613   _x000a_ (state id = 0045)_x000a_"/>
    <s v="TRI 2008"/>
    <s v="Agree, use 2008 TRI"/>
    <s v="2008 operating rate was 126.2581 tons/hr and 5158 hr/yr."/>
    <m/>
    <m/>
    <m/>
    <x v="56"/>
    <m/>
    <m/>
    <x v="2"/>
    <x v="1"/>
    <n v="86323314"/>
    <n v="7439976"/>
    <s v="from Strum:  TRI 2008, 2 EAF process, SCC=30300904, zero criteria emissions"/>
    <d v="2011-09-19T00:00:00"/>
    <s v="2008TRI, 2 EAF process, SCC=30300904, this one has zero criteria emissions"/>
    <n v="74"/>
    <n v="2"/>
    <m/>
    <m/>
  </r>
  <r>
    <s v="39051"/>
    <s v="OH"/>
    <s v="Fulton"/>
    <s v="OHEPA"/>
    <s v="7921911"/>
    <s v="0326000073"/>
    <s v="43515NRTHS6767C"/>
    <s v="Steel Mill"/>
    <s v="Electric Arc Furnaces"/>
    <n v="319"/>
    <s v="T|2005"/>
    <m/>
    <n v="161"/>
    <s v="NorthStar Bluescope Steel, LLC (0326000073)"/>
    <s v="Na"/>
    <s v="OP"/>
    <n v="1997"/>
    <s v="6767 County Road 9"/>
    <s v="Delta"/>
    <s v=""/>
    <m/>
    <s v="No SLT data; only TRI."/>
    <s v="TRI 2008"/>
    <s v="Agree - per phone call of 10/24/2011"/>
    <m/>
    <m/>
    <m/>
    <m/>
    <x v="57"/>
    <m/>
    <m/>
    <x v="2"/>
    <x v="41"/>
    <n v="100666414"/>
    <n v="7439976"/>
    <m/>
    <d v="2011-10-24T00:00:00"/>
    <s v="2008TRI;assigned to processes with EAF SCCs based on state-reported Pb emissions"/>
    <n v="80"/>
    <n v="2"/>
    <m/>
    <m/>
  </r>
  <r>
    <s v="39051"/>
    <s v="OH"/>
    <s v="Fulton"/>
    <s v="OHEPA"/>
    <s v="7921911"/>
    <s v="0326000073"/>
    <s v="43515NRTHS6767C"/>
    <s v="Steel Mill"/>
    <s v="Electric Arc Furnaces"/>
    <n v="319"/>
    <s v="T|2005"/>
    <m/>
    <n v="161"/>
    <s v="NorthStar Bluescope Steel, LLC (0326000073)"/>
    <s v="Na"/>
    <s v="OP"/>
    <n v="1997"/>
    <s v="6767 County Road 9"/>
    <s v="Delta"/>
    <s v=""/>
    <m/>
    <s v="No SLT data; only TRI."/>
    <s v="TRI 2008"/>
    <s v="Agree - per phone call of 10/24/2011"/>
    <m/>
    <m/>
    <m/>
    <m/>
    <x v="57"/>
    <m/>
    <m/>
    <x v="2"/>
    <x v="41"/>
    <n v="100666314"/>
    <n v="7439976"/>
    <m/>
    <d v="2011-10-24T00:00:00"/>
    <s v="2008TRI; assigned to processes with EAF SCCs based on state-reported Pb emissions"/>
    <n v="81"/>
    <n v="2"/>
    <m/>
    <m/>
  </r>
  <r>
    <s v="39051"/>
    <s v="OH"/>
    <s v="Fulton"/>
    <s v="OHEPA"/>
    <s v="7921911"/>
    <s v="0326000073"/>
    <s v="43515NRTHS6767C"/>
    <s v="Steel Mill"/>
    <s v="Electric Arc Furnaces"/>
    <n v="319"/>
    <s v="T|2005"/>
    <m/>
    <n v="161"/>
    <s v="NorthStar Bluescope Steel, LLC (0326000073)"/>
    <s v="Na"/>
    <s v="OP"/>
    <n v="1997"/>
    <s v="6767 County Road 9"/>
    <s v="Delta"/>
    <s v=""/>
    <m/>
    <s v="No SLT data; only TRI."/>
    <s v="TRI 2008"/>
    <s v="Agree - per phone call of 10/24/2011"/>
    <m/>
    <m/>
    <m/>
    <m/>
    <x v="57"/>
    <m/>
    <m/>
    <x v="2"/>
    <x v="41"/>
    <n v="100666214"/>
    <n v="7439976"/>
    <m/>
    <d v="2011-10-24T00:00:00"/>
    <s v="2008TRI; assigned to processes with EAF SCCs based on state-reported Pb emissions"/>
    <n v="81"/>
    <n v="2"/>
    <m/>
    <m/>
  </r>
  <r>
    <s v="42003"/>
    <s v="PA"/>
    <s v="Allegheny"/>
    <s v="PAACHD"/>
    <s v="7991611"/>
    <s v="4200300093"/>
    <s v="15014LLGHNRIVER"/>
    <s v="Steel Mill"/>
    <s v="Electric Arc Furnaces"/>
    <m/>
    <s v=" "/>
    <m/>
    <m/>
    <s v="Allegheny Ludlum Corp - Brackenridge"/>
    <s v="Na"/>
    <s v="OP"/>
    <n v="2008"/>
    <s v="100 River Road"/>
    <s v="Brackenridge"/>
    <n v="46.431983411730805"/>
    <s v="Allegheny-Brackenridge-PA"/>
    <s v="No SLT data reported for the EAF.  Use EPA rule data"/>
    <s v="EPA RULE DATA "/>
    <s v="N"/>
    <s v="No local test data or emission factor available"/>
    <m/>
    <m/>
    <m/>
    <x v="58"/>
    <m/>
    <m/>
    <x v="1"/>
    <x v="1"/>
    <m/>
    <n v="7439976"/>
    <m/>
    <m/>
    <m/>
    <n v="0"/>
    <m/>
    <s v="Gary Fishman read and interpreted EPA test reports from 2010 testing and developed Hg emissions for the various EAF and AOD processes and fugitives based on the Efs and also based on other pollutant fugitive to stack ratios.   "/>
    <m/>
  </r>
  <r>
    <s v="42003"/>
    <s v="PA"/>
    <s v="Allegheny"/>
    <s v="PAACHD"/>
    <s v="7991611"/>
    <s v="4200300093"/>
    <s v="15014LLGHNRIVER"/>
    <s v="Steel Mill"/>
    <s v="Electric Arc Furnaces"/>
    <m/>
    <s v=" "/>
    <m/>
    <m/>
    <s v="Allegheny Ludlum Corp - Brackenridge"/>
    <s v="Na"/>
    <s v="OP"/>
    <n v="2008"/>
    <s v="100 River Road"/>
    <s v="Brackenridge"/>
    <n v="46.431983411730805"/>
    <s v="Allegheny-Brackenridge-PA"/>
    <s v="No SLT data reported for the EAF.  Use EPA rule data"/>
    <s v="EPA RULE DATA "/>
    <s v="N"/>
    <s v="No local test data or emission factor available"/>
    <m/>
    <m/>
    <m/>
    <x v="58"/>
    <m/>
    <m/>
    <x v="0"/>
    <x v="42"/>
    <n v="17329814"/>
    <n v="7439976"/>
    <m/>
    <m/>
    <s v="EPA EAF  ICR data based on 2010 emissions testing and recorded steel production rates, resulting EF applied to 2009 steel production (Donna Lee Jones, EPA/OAQPS/SPPD); assigned to processes based on Agency-reported EAF Hg emissions"/>
    <n v="231"/>
    <n v="10"/>
    <s v=" "/>
    <m/>
  </r>
  <r>
    <s v="42003"/>
    <s v="PA"/>
    <s v="Allegheny"/>
    <s v="PAACHD"/>
    <s v="7991611"/>
    <s v="4200300093"/>
    <s v="15014LLGHNRIVER"/>
    <s v="Steel Mill"/>
    <s v="Electric Arc Furnaces"/>
    <m/>
    <s v=" "/>
    <m/>
    <m/>
    <s v="Allegheny Ludlum Corp - Brackenridge"/>
    <s v="Na"/>
    <s v="OP"/>
    <n v="2008"/>
    <s v="100 River Road"/>
    <s v="Brackenridge"/>
    <n v="46.431983411730805"/>
    <s v="Allegheny-Brackenridge-PA"/>
    <s v="No SLT data reported for the EAF.  Use EPA rule data"/>
    <s v="EPA RULE DATA "/>
    <s v="N"/>
    <s v="No local test data or emission factor available"/>
    <m/>
    <m/>
    <m/>
    <x v="58"/>
    <m/>
    <m/>
    <x v="0"/>
    <x v="43"/>
    <n v="17330114"/>
    <n v="7439976"/>
    <m/>
    <m/>
    <s v="EPA EAF  ICR data based on 2010 emissions testing and recorded steel production rates, resulting EF applied to 2009 steel production (Donna Lee Jones, EPA/OAQPS/SPPD); assigned to processes based on Agency-reported EAF Hg emissions"/>
    <n v="231"/>
    <n v="10"/>
    <s v=" "/>
    <m/>
  </r>
  <r>
    <s v="42003"/>
    <s v="PA"/>
    <s v="Allegheny"/>
    <s v="PAACHD"/>
    <s v="7991611"/>
    <s v="4200300093"/>
    <s v="15014LLGHNRIVER"/>
    <s v="Steel Mill"/>
    <s v="Electric Arc Furnaces"/>
    <m/>
    <s v=" "/>
    <m/>
    <m/>
    <s v="Allegheny Ludlum Corp - Brackenridge"/>
    <s v="Na"/>
    <s v="OP"/>
    <n v="2008"/>
    <s v="100 River Road"/>
    <s v="Brackenridge"/>
    <n v="46.431983411730805"/>
    <s v="Allegheny-Brackenridge-PA"/>
    <s v="No SLT data reported for the EAF.  Use EPA rule data"/>
    <s v="EPA RULE DATA "/>
    <s v="N"/>
    <s v="No local test data or emission factor available"/>
    <m/>
    <m/>
    <m/>
    <x v="58"/>
    <m/>
    <m/>
    <x v="0"/>
    <x v="44"/>
    <n v="17330214"/>
    <n v="7439976"/>
    <m/>
    <m/>
    <s v="EPA EAF  ICR data based on 2010 emissions testing and recorded steel production rates, resulting EF applied to 2009 steel production (Donna Lee Jones, EPA/OAQPS/SPPD); assigned to processes based on Agency-reported EAF Hg emissions"/>
    <n v="231"/>
    <n v="10"/>
    <s v=" "/>
    <m/>
  </r>
  <r>
    <s v="42003"/>
    <s v="PA"/>
    <s v="Allegheny"/>
    <s v="PAACHD"/>
    <s v="7991611"/>
    <s v="4200300093"/>
    <s v="15014LLGHNRIVER"/>
    <s v="Steel Mill"/>
    <s v="Electric Arc Furnaces"/>
    <m/>
    <s v=" "/>
    <m/>
    <m/>
    <s v="Allegheny Ludlum Corp - Brackenridge"/>
    <s v="Na"/>
    <s v="OP"/>
    <n v="2008"/>
    <s v="100 River Road"/>
    <s v="Brackenridge"/>
    <n v="46.431983411730805"/>
    <s v="Allegheny-Brackenridge-PA"/>
    <s v="No SLT data reported for the EAF.  Use EPA rule data"/>
    <s v="EPA RULE DATA "/>
    <s v="N"/>
    <s v="No local test data or emission factor available"/>
    <m/>
    <m/>
    <m/>
    <x v="58"/>
    <m/>
    <m/>
    <x v="0"/>
    <x v="45"/>
    <n v="17330314"/>
    <n v="7439976"/>
    <m/>
    <m/>
    <s v="EPA EAF  ICR data based on 2010 emissions testing and recorded steel production rates, resulting EF applied to 2009 steel production (Donna Lee Jones, EPA/OAQPS/SPPD); assigned to processes based on Agency-reported EAF Hg emissions"/>
    <n v="231"/>
    <n v="10"/>
    <s v=" "/>
    <m/>
  </r>
  <r>
    <s v="42003"/>
    <s v="PA"/>
    <s v="Allegheny"/>
    <s v="PAACHD"/>
    <s v="7991611"/>
    <s v="4200300093"/>
    <s v="15014LLGHNRIVER"/>
    <s v="Steel Mill"/>
    <s v="Electric Arc Furnaces"/>
    <m/>
    <s v=" "/>
    <m/>
    <m/>
    <s v="Allegheny Ludlum Corp - Brackenridge"/>
    <s v="Na"/>
    <s v="OP"/>
    <n v="2008"/>
    <s v="100 River Road"/>
    <s v="Brackenridge"/>
    <n v="46.431983411730805"/>
    <s v="Allegheny-Brackenridge-PA"/>
    <s v="No SLT data reported for the EAF.  Use EPA rule data"/>
    <s v="EPA RULE DATA "/>
    <s v="N"/>
    <s v="No local test data or emission factor available"/>
    <m/>
    <m/>
    <m/>
    <x v="58"/>
    <m/>
    <m/>
    <x v="0"/>
    <x v="46"/>
    <n v="17330414"/>
    <n v="7439976"/>
    <m/>
    <m/>
    <s v="EPA EAF  ICR data based on 2010 emissions testing and recorded steel production rates, resulting EF applied to 2009 steel production (Donna Lee Jones, EPA/OAQPS/SPPD); assigned to processes based on Agency-reported EAF Hg emissions"/>
    <n v="231"/>
    <n v="10"/>
    <s v=" "/>
    <m/>
  </r>
  <r>
    <s v="42003"/>
    <s v="PA"/>
    <s v="Allegheny"/>
    <s v="PAACHD"/>
    <s v="7991611"/>
    <s v="4200300093"/>
    <s v="15014LLGHNRIVER"/>
    <s v="Steel Mill"/>
    <s v="Electric Arc Furnaces"/>
    <m/>
    <s v=" "/>
    <m/>
    <m/>
    <s v="Allegheny Ludlum Corp - Brackenridge"/>
    <s v="Na"/>
    <s v="OP"/>
    <n v="2008"/>
    <s v="100 River Road"/>
    <s v="Brackenridge"/>
    <n v="46.431983411730805"/>
    <s v="Allegheny-Brackenridge-PA"/>
    <s v="No SLT data reported for the EAF.  Use EPA rule data"/>
    <s v="EPA RULE DATA "/>
    <s v="N"/>
    <s v="No local test data or emission factor available"/>
    <m/>
    <m/>
    <m/>
    <x v="58"/>
    <m/>
    <m/>
    <x v="0"/>
    <x v="47"/>
    <n v="17330614"/>
    <n v="7439976"/>
    <m/>
    <m/>
    <s v="EPA EAF  ICR data based on 2010 emissions testing and recorded steel production rates, resulting EF applied to 2009 steel production (Donna Lee Jones, EPA/OAQPS/SPPD); assigned to processes based on Agency-reported EAF Hg emissions"/>
    <n v="231"/>
    <n v="10"/>
    <s v=" "/>
    <m/>
  </r>
  <r>
    <s v="42003"/>
    <s v="PA"/>
    <s v="Allegheny"/>
    <s v="PAACHD"/>
    <s v="7991611"/>
    <s v="4200300093"/>
    <s v="15014LLGHNRIVER"/>
    <s v="Steel Mill"/>
    <s v="Electric Arc Furnaces"/>
    <m/>
    <s v=" "/>
    <m/>
    <m/>
    <s v="Allegheny Ludlum Corp - Brackenridge"/>
    <s v="Na"/>
    <s v="OP"/>
    <n v="2008"/>
    <s v="100 River Road"/>
    <s v="Brackenridge"/>
    <n v="46.431983411730805"/>
    <s v="Allegheny-Brackenridge-PA"/>
    <s v="No SLT data reported for the EAF.  Use EPA rule data"/>
    <s v="EPA RULE DATA "/>
    <s v="N"/>
    <s v="No local test data or emission factor available"/>
    <m/>
    <m/>
    <m/>
    <x v="58"/>
    <m/>
    <m/>
    <x v="0"/>
    <x v="45"/>
    <n v="17330714"/>
    <n v="7439976"/>
    <m/>
    <m/>
    <s v="EPA EAF  ICR data based on 2010 emissions testing and recorded steel production rates, resulting EF applied to 2009 steel production (Donna Lee Jones, EPA/OAQPS/SPPD); assigned to processes based on Agency-reported EAF Hg emissions"/>
    <n v="231"/>
    <n v="10"/>
    <s v=" "/>
    <m/>
  </r>
  <r>
    <s v="42003"/>
    <s v="PA"/>
    <s v="Allegheny"/>
    <s v="PAACHD"/>
    <s v="7991611"/>
    <s v="4200300093"/>
    <s v="15014LLGHNRIVER"/>
    <s v="Steel Mill"/>
    <s v="Electric Arc Furnaces"/>
    <m/>
    <s v=" "/>
    <m/>
    <m/>
    <s v="Allegheny Ludlum Corp - Brackenridge"/>
    <s v="Na"/>
    <s v="OP"/>
    <n v="2008"/>
    <s v="100 River Road"/>
    <s v="Brackenridge"/>
    <n v="46.431983411730805"/>
    <s v="Allegheny-Brackenridge-PA"/>
    <s v="No SLT data reported for the EAF.  Use EPA rule data"/>
    <s v="EPA RULE DATA "/>
    <s v="N"/>
    <s v="No local test data or emission factor available"/>
    <m/>
    <m/>
    <m/>
    <x v="58"/>
    <m/>
    <m/>
    <x v="0"/>
    <x v="46"/>
    <n v="17330814"/>
    <n v="7439976"/>
    <m/>
    <m/>
    <s v="EPA EAF  ICR data based on 2010 emissions testing and recorded steel production rates, resulting EF applied to 2009 steel production (Donna Lee Jones, EPA/OAQPS/SPPD); assigned to processes based on Agency-reported EAF Hg emissions"/>
    <n v="231"/>
    <n v="10"/>
    <s v=" "/>
    <m/>
  </r>
  <r>
    <s v="36011"/>
    <s v="NY"/>
    <s v="Cayuga"/>
    <s v="NYDEC"/>
    <s v="7994811"/>
    <s v="7050100044"/>
    <s v="13021BRNSTQUARR"/>
    <s v="Steel Mill"/>
    <s v="Electric Arc Furnaces"/>
    <n v="140"/>
    <s v="S|2005"/>
    <m/>
    <n v="62.057110000000002"/>
    <s v="NUCOR STEEL AUBURN INC"/>
    <s v="NUCOR STEEL AUBURN INC"/>
    <s v="OP"/>
    <n v="2008"/>
    <s v="25 QUARRY ROAD"/>
    <s v="AUBURN"/>
    <s v=""/>
    <m/>
    <s v="No SLT data, use TRI"/>
    <s v="TRI 2008"/>
    <s v="Disagree. "/>
    <s v="NYDEC is providing emissions amount."/>
    <m/>
    <m/>
    <m/>
    <x v="59"/>
    <m/>
    <m/>
    <x v="1"/>
    <x v="1"/>
    <m/>
    <n v="7439976"/>
    <m/>
    <d v="2011-09-28T00:00:00"/>
    <s v="data submitted to EIS"/>
    <n v="21"/>
    <m/>
    <m/>
    <m/>
  </r>
  <r>
    <s v="42003"/>
    <s v="PA"/>
    <s v="Allegheny"/>
    <s v="PAACHD"/>
    <s v="8005811"/>
    <s v="4200300003"/>
    <s v="15017CYTMPMAYER"/>
    <s v="Steel Mill"/>
    <s v="Electric Arc Furnaces"/>
    <n v="34.210989999999995"/>
    <s v="R|2002"/>
    <m/>
    <m/>
    <s v="Universal Stainless &amp; Alloy Products"/>
    <s v="Na"/>
    <s v="OP"/>
    <n v="2008"/>
    <s v="600 Mayer Street"/>
    <s v="Bridgeville"/>
    <s v=""/>
    <m/>
    <s v="No EIS or TRI Hg data but various EAF SCCs.    Question:  Could SLT provide emissions/information or do we use NATA data?"/>
    <s v="NATA  "/>
    <s v="Y"/>
    <s v="No local test data or emission factor available"/>
    <m/>
    <m/>
    <m/>
    <x v="60"/>
    <m/>
    <m/>
    <x v="1"/>
    <x v="1"/>
    <m/>
    <n v="7439976"/>
    <m/>
    <m/>
    <m/>
    <n v="0"/>
    <m/>
    <s v="Gary used EPA test data for other EAFs to compute Hg from the EAFs at this facility"/>
    <m/>
  </r>
  <r>
    <s v="39139"/>
    <s v="OH"/>
    <s v="Richland"/>
    <s v="OHEPA"/>
    <s v="8050311"/>
    <s v="0370010023"/>
    <s v="44901MPRDT913BO"/>
    <s v="Steel Mill"/>
    <s v="Electric Arc Furnaces"/>
    <n v="228.07326599999999"/>
    <s v="R|2002"/>
    <n v="12.297879999999997"/>
    <n v="0.24000000000000002"/>
    <s v="AK Steel Corp - Mansfield Operations (0370010023)"/>
    <s v="Na"/>
    <s v="OP"/>
    <n v="1997"/>
    <s v="913 Bowman Street"/>
    <s v="Mansfield"/>
    <n v="50"/>
    <s v="AKSteel-Mansfield-OH"/>
    <s v="EPA rule data  Hg is higher than SLT data.  "/>
    <s v="EPA RULE DATA"/>
    <s v="adjust for 2008 throughput.  397,000 tons in 2008 (sum across P002 and P003) and 254,814 tons in 2009 (EAF test data)"/>
    <s v=" "/>
    <n v="77.66"/>
    <n v="0"/>
    <m/>
    <x v="61"/>
    <s v="NO"/>
    <s v=" "/>
    <x v="1"/>
    <x v="1"/>
    <n v="117761414"/>
    <n v="7439976"/>
    <s v="Tom Velalis phone conversation 10/24/2011"/>
    <d v="2011-10-24T00:00:00"/>
    <s v=" "/>
    <n v="1"/>
    <s v=" "/>
    <m/>
    <m/>
  </r>
  <r>
    <s v="39139"/>
    <s v="OH"/>
    <s v="Richland"/>
    <s v="OHEPA"/>
    <s v="8050311"/>
    <s v="0370010023"/>
    <s v="44901MPRDT913BO"/>
    <s v="Steel Mill"/>
    <s v="Electric Arc Furnaces"/>
    <n v="228.07326599999999"/>
    <s v="R|2002"/>
    <n v="12.297879999999997"/>
    <n v="0.24000000000000002"/>
    <s v="AK Steel Corp - Mansfield Operations (0370010023)"/>
    <s v="Na"/>
    <s v="OP"/>
    <n v="1997"/>
    <s v="913 Bowman Street"/>
    <s v="Mansfield"/>
    <n v="50"/>
    <s v="AKSteel-Mansfield-OH"/>
    <s v="EPA rule data  Hg is higher than SLT data.  "/>
    <s v="EPA RULE DATA"/>
    <s v="adjust for 2008 throughput.  397,000 tons in 2008 (sum across P002 and P003) and 254,814 tons in 2009 (EAF test data)"/>
    <s v=" "/>
    <n v="77.66"/>
    <n v="0"/>
    <m/>
    <x v="61"/>
    <s v="NO"/>
    <s v=" "/>
    <x v="1"/>
    <x v="1"/>
    <n v="117761514"/>
    <n v="7439976"/>
    <s v="Tom Velalis phone conversation 10/24/2011"/>
    <d v="2011-10-24T00:00:00"/>
    <s v=" "/>
    <n v="1"/>
    <s v=" "/>
    <m/>
    <m/>
  </r>
  <r>
    <s v="39139"/>
    <s v="OH"/>
    <s v="Richland"/>
    <s v="OHEPA"/>
    <s v="8050311"/>
    <s v="0370010023"/>
    <s v="44901MPRDT913BO"/>
    <s v="Steel Mill"/>
    <s v="Electric Arc Furnaces"/>
    <n v="228.07326599999999"/>
    <s v="R|2002"/>
    <n v="12.297879999999997"/>
    <n v="0.24000000000000002"/>
    <s v="AK Steel Corp - Mansfield Operations (0370010023)"/>
    <s v="Na"/>
    <s v="OP"/>
    <n v="1997"/>
    <s v="913 Bowman Street"/>
    <s v="Mansfield"/>
    <n v="50"/>
    <s v="AKSteel-Mansfield-OH"/>
    <s v="EPA rule data  Hg is higher than SLT data.  "/>
    <s v="EPA RULE DATA"/>
    <s v="adjust for 2008 throughput.  397,000 tons in 2008 (sum across P002 and P003) and 254,814 tons in 2009 (EAF test data)"/>
    <s v=" "/>
    <n v="77.66"/>
    <n v="32.625206185567016"/>
    <m/>
    <x v="61"/>
    <s v="NO"/>
    <s v=" "/>
    <x v="0"/>
    <x v="48"/>
    <n v="117761414"/>
    <n v="7439976"/>
    <s v="Tom Velalis phone conversation 10/24/2011"/>
    <d v="2011-10-24T00:00:00"/>
    <s v="EPA EAF  ICR data based on 2010 emissions testing and recorded steel production rates, resulting EF applied to 2009 steel production (Donna Lee Jones, EPA/OAQPS/SPPD); assigned to processes based on Agency-reported EAF Hg emissions"/>
    <n v="231"/>
    <n v="10"/>
    <m/>
    <m/>
  </r>
  <r>
    <s v="39139"/>
    <s v="OH"/>
    <s v="Richland"/>
    <s v="OHEPA"/>
    <s v="8050311"/>
    <s v="0370010023"/>
    <s v="44901MPRDT913BO"/>
    <s v="Steel Mill"/>
    <s v="Electric Arc Furnaces"/>
    <n v="228.07326599999999"/>
    <s v="R|2002"/>
    <n v="12.297879999999997"/>
    <n v="0.24000000000000002"/>
    <s v="AK Steel Corp - Mansfield Operations (0370010023)"/>
    <s v="Na"/>
    <s v="OP"/>
    <n v="1997"/>
    <s v="913 Bowman Street"/>
    <s v="Mansfield"/>
    <n v="50"/>
    <s v="AKSteel-Mansfield-OH"/>
    <s v="EPA rule data  Hg is higher than SLT data.  "/>
    <s v="EPA RULE DATA"/>
    <s v="adjust for 2008 throughput.  397,000 tons in 2008 (sum across P002 and P003) and 254,814 tons in 2009 (EAF test data)"/>
    <s v=" "/>
    <n v="77.66"/>
    <n v="45.034793814432994"/>
    <m/>
    <x v="61"/>
    <s v="NO"/>
    <s v=" "/>
    <x v="0"/>
    <x v="49"/>
    <n v="117761514"/>
    <n v="7439976"/>
    <s v="Tom Velalis phone conversation 10/24/2011"/>
    <d v="2011-10-24T00:00:00"/>
    <s v="EPA EAF  ICR data based on 2010 emissions testing and recorded steel production rates, resulting EF applied to 2009 steel production (Donna Lee Jones, EPA/OAQPS/SPPD); assigned to processes based on Agency-reported EAF Hg emissions"/>
    <n v="231"/>
    <n v="10"/>
    <m/>
    <m/>
  </r>
  <r>
    <s v="26075"/>
    <s v="MI"/>
    <s v="Jackson"/>
    <s v="MIDEQ"/>
    <s v="8125711"/>
    <s v="B4306"/>
    <s v="49204QNXCRPOBOX"/>
    <s v="Steel Mill"/>
    <s v="Electric Arc Furnaces"/>
    <n v="236.21874"/>
    <s v="R|2002"/>
    <n v="2.3910000000000001E-2"/>
    <n v="59.02"/>
    <s v="Gerdau MACSTEEL Jackson"/>
    <s v="Na"/>
    <s v="OP"/>
    <n v="2009"/>
    <s v="3100  BROOKLYN RD"/>
    <s v="JACKSON"/>
    <s v=""/>
    <m/>
    <s v="State reporting only from process heaters and nat gas fired boiler.  There are two EAF processes with emissions of CAPS and many  metal HAPs but not Hg.  1) EAFs.  Process id = 28371714    (state id=30300904) unit id = 6963513 (state id = EU0025) 2) Fugitive from roof monitor:  unit id= 6963313 (EU0024)  process id= 28371914   (state id = 30300904)_x000a__x000a_"/>
    <s v="TRI 2008"/>
    <s v="Agree"/>
    <s v="SLT staff contacted facility, and facility staff verified that 2008 TRI estimate is a good number and includes point emissions and fugitives from the facility"/>
    <m/>
    <s v="1) EAFs.  unit id = 6963513 (state id = EU0025) 2) Fugitive from roof monitor:  unit id= 6963313 (EU0024)  "/>
    <s v="1) EAFs.  Process id = 28371714    (state id=30300904) 2) Fugitive from roof monitor:  process id= 28371914   (state id = 30300904)"/>
    <x v="62"/>
    <m/>
    <m/>
    <x v="2"/>
    <x v="50"/>
    <n v="28371714"/>
    <n v="7439976"/>
    <s v="fugitive TRI for roof monitor, stack TRI for EAF"/>
    <d v="2011-10-10T00:00:00"/>
    <s v="2008TRI; assigned fugitive TRI for roof monitor, stack TRI for EAF"/>
    <n v="66"/>
    <n v="2"/>
    <m/>
    <m/>
  </r>
  <r>
    <s v="26075"/>
    <s v="MI"/>
    <s v="Jackson"/>
    <s v="MIDEQ"/>
    <s v="8125711"/>
    <s v="B4306"/>
    <s v="49204QNXCRPOBOX"/>
    <s v="Steel Mill"/>
    <s v="Electric Arc Furnaces"/>
    <n v="236.21874"/>
    <s v="R|2002"/>
    <n v="2.3910000000000001E-2"/>
    <n v="59.02"/>
    <s v="Gerdau MACSTEEL Jackson"/>
    <s v="Na"/>
    <s v="OP"/>
    <n v="2009"/>
    <s v="3100  BROOKLYN RD"/>
    <s v="JACKSON"/>
    <s v=""/>
    <m/>
    <s v="State reporting only from process heaters and nat gas fired boiler.  There are two EAF processes with emissions of CAPS and many  metal HAPs but not Hg.  1) EAFs.  Process id = 28371714    (state id=30300904) unit id = 6963513 (state id = EU0025) 2) Fugitive from roof monitor:  unit id= 6963313 (EU0024)  process id= 28371914   (state id = 30300904)_x000a__x000a_"/>
    <s v="TRI 2008"/>
    <s v="Agree"/>
    <s v="SLT staff contacted facility, and facility staff verified that 2008 TRI estimate is a good number and includes point emissions and fugitives from the facility"/>
    <m/>
    <s v="1) EAFs.  unit id = 6963513 (state id = EU0025) 2) Fugitive from roof monitor:  unit id= 6963313 (EU0024)  "/>
    <s v="1) EAFs.  Process id = 28371714    (state id=30300904) 2) Fugitive from roof monitor:  process id= 28371914   (state id = 30300904)"/>
    <x v="62"/>
    <m/>
    <m/>
    <x v="2"/>
    <x v="51"/>
    <n v="28371914"/>
    <n v="7439976"/>
    <s v="fugitive TRI for roof monitor, stack TRI for EAF"/>
    <d v="2011-10-10T00:00:00"/>
    <s v="2008TRI; assigned fugitive TRI for roof monitor, stack TRI for EAF"/>
    <n v="66"/>
    <n v="2"/>
    <m/>
    <m/>
  </r>
  <r>
    <s v="42007"/>
    <s v="PA"/>
    <s v="Beaver"/>
    <s v="PADEP"/>
    <s v="8141411"/>
    <s v="420070043"/>
    <s v=""/>
    <s v="Steel Mill"/>
    <s v="Electric Arc Furnaces"/>
    <n v="130.32758000000001"/>
    <s v="R|2002"/>
    <m/>
    <m/>
    <s v="JEWEL ACQUISITION/MIDLAND FAC"/>
    <s v="JEWEL ACQUISITION LLC"/>
    <s v="OP"/>
    <n v="2008"/>
    <s v="1200 MIDLAND AVE"/>
    <s v="MIDLAND"/>
    <s v=""/>
    <m/>
    <s v="No EIS or TRI Hg data but EAF SCC of 30300904.    Question:  Could SLT provide emissions/information or do we use NATA data?"/>
    <s v="NATA  "/>
    <m/>
    <s v=" "/>
    <m/>
    <m/>
    <m/>
    <x v="63"/>
    <m/>
    <n v="70.900000000000006"/>
    <x v="3"/>
    <x v="0"/>
    <n v="93014014"/>
    <n v="7439976"/>
    <m/>
    <m/>
    <s v="Used EPA EAF 2010 testing program avge EF of  2.48e-4 lbs/ton steel and 2008 throughput provided by PA; assigned to only process w/SCC 30300904"/>
    <n v="143"/>
    <n v="13"/>
    <m/>
    <m/>
  </r>
  <r>
    <s v="18127"/>
    <s v="IN"/>
    <s v="Porter"/>
    <s v="INDEM"/>
    <s v="8187311"/>
    <s v="00036"/>
    <s v="46368BTSTL6500S"/>
    <s v="Steel Mill"/>
    <s v="Electric Arc Furnaces"/>
    <n v="162.90947599999998"/>
    <s v="R|2002"/>
    <m/>
    <m/>
    <s v="Beta Steel Corp."/>
    <s v="Na"/>
    <s v="OP"/>
    <n v="2008"/>
    <s v="6500 S BOUNDARY RD"/>
    <s v="Portage"/>
    <s v=""/>
    <m/>
    <s v="No EIS or TRI Hg data but EAF SCC of 30300904.     Question:  Could SLT provide emissions/information or do we use NATA data?"/>
    <s v="NATA  "/>
    <s v="Disagree"/>
    <s v="Scrap metal EAF so mercury expected but NATA data old - new estimate uses state EF and 2008 FPRT."/>
    <s v="40 LBS"/>
    <s v="003"/>
    <s v="01"/>
    <x v="64"/>
    <m/>
    <n v="40"/>
    <x v="3"/>
    <x v="0"/>
    <n v="90547314"/>
    <n v="7439976"/>
    <m/>
    <d v="2011-10-13T00:00:00"/>
    <s v="INDEM-computed for EAF based on state EF and 2008 Fuel Process Rate (FPRT) (Throughput)."/>
    <n v="88"/>
    <n v="9"/>
    <m/>
    <m/>
  </r>
  <r>
    <s v="39081"/>
    <s v="OH"/>
    <s v="Jefferson"/>
    <s v="OHEPA"/>
    <s v="8190711"/>
    <s v="0641090010"/>
    <s v="43952WHLNGMCLIS"/>
    <s v="Steel Mill"/>
    <s v="Electric Arc Furnaces"/>
    <m/>
    <s v=" "/>
    <m/>
    <n v="100"/>
    <s v="Severstal Wheeling, Inc (0641090010)"/>
    <s v="Mingo junction"/>
    <s v="OP"/>
    <n v="1994"/>
    <s v="540 Commercial Ave"/>
    <s v="Mingo Junction"/>
    <s v=""/>
    <m/>
    <s v="There are EAF SCC(s) of 30300904.  No SLT reported Hg.  Gapfill using TRI"/>
    <s v="TRI 2008"/>
    <s v="Agree - per phone call of 10/24/2011"/>
    <s v=" "/>
    <m/>
    <m/>
    <m/>
    <x v="65"/>
    <m/>
    <m/>
    <x v="2"/>
    <x v="52"/>
    <s v="100842614  "/>
    <n v="7439976"/>
    <n v="0.08"/>
    <m/>
    <s v="2008TRI; assigned to processes with EAF SCCs based on state-reported PM10-FIL emissions"/>
    <n v="87"/>
    <n v="2"/>
    <m/>
    <m/>
  </r>
  <r>
    <s v="39081"/>
    <s v="OH"/>
    <s v="Jefferson"/>
    <s v="OHEPA"/>
    <s v="8190711"/>
    <s v="0641090010"/>
    <s v="43952WHLNGMCLIS"/>
    <s v="Steel Mill"/>
    <s v="Electric Arc Furnaces"/>
    <m/>
    <s v=" "/>
    <m/>
    <n v="100"/>
    <s v="Severstal Wheeling, Inc (0641090010)"/>
    <s v="Mingo junction"/>
    <s v="OP"/>
    <n v="1994"/>
    <s v="540 Commercial Ave"/>
    <s v="Mingo Junction"/>
    <s v=""/>
    <m/>
    <s v="There are EAF SCC(s) of 30300904.  No SLT reported Hg.  Gapfill using TRI"/>
    <s v="TRI 2008"/>
    <s v="Agree - per phone call of 10/24/2011"/>
    <s v=" "/>
    <m/>
    <m/>
    <m/>
    <x v="65"/>
    <m/>
    <m/>
    <x v="2"/>
    <x v="53"/>
    <s v="100843614  "/>
    <n v="7439976"/>
    <n v="28.26"/>
    <m/>
    <s v="2008TRI; assigned to processes with EAF SCCs based on state-reported PM10-FIL emissions"/>
    <n v="87"/>
    <n v="2"/>
    <m/>
    <m/>
  </r>
  <r>
    <s v="39081"/>
    <s v="OH"/>
    <s v="Jefferson"/>
    <s v="OHEPA"/>
    <s v="8190711"/>
    <s v="0641090010"/>
    <s v="43952WHLNGMCLIS"/>
    <s v="Steel Mill"/>
    <s v="Electric Arc Furnaces"/>
    <m/>
    <s v=" "/>
    <m/>
    <n v="100"/>
    <s v="Severstal Wheeling, Inc (0641090010)"/>
    <s v="Mingo junction"/>
    <s v="OP"/>
    <n v="1994"/>
    <s v="540 Commercial Ave"/>
    <s v="Mingo Junction"/>
    <s v=""/>
    <m/>
    <s v="There are EAF SCC(s) of 30300904.  No SLT reported Hg.  Gapfill using TRI"/>
    <s v="TRI 2008"/>
    <s v="Agree - per phone call of 10/24/2011"/>
    <s v=" "/>
    <m/>
    <m/>
    <m/>
    <x v="65"/>
    <m/>
    <m/>
    <x v="2"/>
    <x v="54"/>
    <s v="100843714  "/>
    <n v="7439976"/>
    <n v="4.37"/>
    <m/>
    <s v="2008TRI;  assigned to processes with EAF SCCs based on state-reported PM10-FIL emissions"/>
    <n v="88"/>
    <n v="2"/>
    <m/>
    <m/>
  </r>
  <r>
    <s v="18183"/>
    <s v="IN"/>
    <s v="Whitley"/>
    <s v="INDEM"/>
    <s v="8199711"/>
    <s v="00030"/>
    <s v="46725STLDY2601C"/>
    <s v="Steel Mill"/>
    <s v="Electric Arc Furnaces"/>
    <n v="260.65516000000002"/>
    <s v="R|2002"/>
    <m/>
    <m/>
    <s v="Steel Dynamics. Inc. (SDI), Structual and Rail Division"/>
    <s v="Na"/>
    <s v="OP"/>
    <n v="2008"/>
    <s v="2601 S CR 700 E"/>
    <s v="Columbia City"/>
    <n v="113.31353869602641"/>
    <s v="Steel Dynamics-ColumbiaCity-IN"/>
    <s v="No SLT data, use EPA RULE DATA"/>
    <s v="EPA RULE DATA "/>
    <s v="EST or EPA RULE DATA"/>
    <s v="Estimate based on 2007 stack test and 2008  Fuel Process Rate (Throughput)-- FPRT."/>
    <s v="114 LBS"/>
    <s v="001"/>
    <s v="01"/>
    <x v="66"/>
    <m/>
    <n v="114"/>
    <x v="3"/>
    <x v="0"/>
    <n v="90500814"/>
    <n v="7439976"/>
    <m/>
    <d v="2011-10-13T00:00:00"/>
    <s v="INDEM-computed for EAF based on state EF and 2008 Fuel Process Rate (FPRT) (Throughput)."/>
    <n v="88"/>
    <n v="9"/>
    <m/>
    <m/>
  </r>
  <r>
    <s v="18183"/>
    <s v="IN"/>
    <s v="Whitley"/>
    <s v="INDEM"/>
    <s v="8199711"/>
    <s v="00030"/>
    <s v="46725STLDY2601C"/>
    <s v="Steel Mill"/>
    <s v="Electric Arc Furnaces"/>
    <n v="260.65516000000002"/>
    <s v="R|2002"/>
    <m/>
    <m/>
    <s v="Steel Dynamics. Inc. (SDI), Structual and Rail Division"/>
    <s v="Na"/>
    <s v="OP"/>
    <n v="2008"/>
    <s v="2601 S CR 700 E"/>
    <s v="Columbia City"/>
    <n v="113.31353869602641"/>
    <s v="Steel Dynamics-ColumbiaCity-IN"/>
    <s v="No SLT data, use EPA RULE DATA"/>
    <s v="EPA RULE DATA "/>
    <s v="EST or EPA RULE DATA"/>
    <s v="Estimate based on 2007 stack test and 2008  Fuel Process Rate (Throughput)-- FPRT."/>
    <s v=" "/>
    <s v="001"/>
    <s v="01"/>
    <x v="66"/>
    <m/>
    <s v=" "/>
    <x v="0"/>
    <x v="0"/>
    <n v="90500814"/>
    <n v="7439976"/>
    <m/>
    <d v="2011-11-15T00:00:00"/>
    <s v="EPA EAF  ICR data based on 2010 emissions testing and recorded steel production rates, resulting EF applied to 2009 steel production (Donna Lee Jones, EPA/OAQPS/SPPD)"/>
    <n v="166"/>
    <n v="10"/>
    <m/>
    <m/>
  </r>
  <r>
    <s v="42007"/>
    <s v="PA"/>
    <s v="Beaver"/>
    <s v="PADEP"/>
    <s v="8221411"/>
    <s v="420070027"/>
    <s v="16136BBCCKMOUNT"/>
    <s v="Steel Mill"/>
    <s v="Electric Arc Furnaces"/>
    <n v="179.21042199999999"/>
    <s v="R|2002, T|2005"/>
    <m/>
    <n v="0.01"/>
    <s v="IPSCO KOPPEL TUBULARS CORP/KOPPEL PLT"/>
    <s v="IPSCO KOPPEL TUBULARS CORP"/>
    <s v="OP"/>
    <n v="2008"/>
    <s v="MOUNT ST"/>
    <s v="KOPPEL"/>
    <s v=""/>
    <m/>
    <s v="No SLT data, use TRI DATA"/>
    <s v="TRI 2008"/>
    <m/>
    <s v=" "/>
    <m/>
    <m/>
    <m/>
    <x v="67"/>
    <m/>
    <n v="81.510000000000005"/>
    <x v="3"/>
    <x v="0"/>
    <n v="93014814"/>
    <n v="7439976"/>
    <m/>
    <m/>
    <s v="Used EPA EAF 2010 testing program avge EF of  2.48e-4 lbs/ton steel and 2008 throughput provided by PA; assigned to only 2008-emitting process w/SCC 30300904"/>
    <n v="157"/>
    <n v="13"/>
    <m/>
    <m/>
  </r>
  <r>
    <s v="17119"/>
    <s v="IL"/>
    <s v="Madison"/>
    <s v="ILEPA"/>
    <s v="8221911"/>
    <s v="119010AAE"/>
    <s v="62002LCLDSCUTST"/>
    <s v=""/>
    <s v="Electric Arc Furnaces"/>
    <m/>
    <s v=" "/>
    <m/>
    <m/>
    <s v="Alton Steel Inc"/>
    <s v="Na"/>
    <s v="OP"/>
    <n v="2008"/>
    <s v="#5 Cut St"/>
    <s v="Alton"/>
    <s v=""/>
    <m/>
    <s v="no Hg emissions in NATA, NEI or TRI.  Can state provide data?"/>
    <s v="no data - on EPA RULE DATA list"/>
    <m/>
    <s v="SLT emissions in lb"/>
    <n v="28.82"/>
    <m/>
    <m/>
    <x v="68"/>
    <m/>
    <m/>
    <x v="1"/>
    <x v="1"/>
    <n v="86147314"/>
    <n v="7439976"/>
    <s v="From ILEPA:  Used generated emission factor of 7.37e-5 lb/ton from Sterling and Keystone TRI data.  2008 operating rate was 80.86/hr and 4836 hr/yr. 2 processes with SCC=30300908, assign to the one with nonzero emissions"/>
    <d v="2011-09-19T00:00:00"/>
    <s v="ILEPA submitted via gateway"/>
    <n v="27"/>
    <m/>
    <m/>
    <m/>
  </r>
  <r>
    <s v="18107"/>
    <s v="IN"/>
    <s v="Montgomery"/>
    <s v="INDEM"/>
    <s v="8224911"/>
    <s v="00038"/>
    <s v="47933NCRST400SO"/>
    <s v="Steel Mill"/>
    <s v="Electric Arc Furnaces"/>
    <n v="205.07951459999998"/>
    <s v="S|2005"/>
    <m/>
    <n v="96"/>
    <s v="Nucor Steel"/>
    <s v="Na"/>
    <s v="OP"/>
    <n v="2008"/>
    <s v="4537 S NUCOR RD"/>
    <s v="Crawfordsville"/>
    <n v="194.06685244665334"/>
    <s v="Nucor-Crawfordsville-IN (see 2nd TAB, major sources)"/>
    <s v="Have TRI and EPA Rule data; use EPA Rule data"/>
    <s v="EPA RULE DATA "/>
    <s v="TRI, RO or EPA RULE DATA"/>
    <s v="Facility Voluntarily Reported 86 LBS Hg from 2 EAFS in 2007 to IDEM.  "/>
    <s v="46 LBS                     40 LBS"/>
    <s v="001                               01A"/>
    <s v="01                                            01"/>
    <x v="69"/>
    <m/>
    <n v="86"/>
    <x v="3"/>
    <x v="55"/>
    <n v="123994214"/>
    <n v="7439976"/>
    <m/>
    <d v="2011-10-13T00:00:00"/>
    <s v="INDEM-computed for EAF based on state EF and 2008 Fuel Process Rate (FPRT) (Throughput)."/>
    <n v="88"/>
    <n v="9"/>
    <m/>
    <m/>
  </r>
  <r>
    <s v="18107"/>
    <s v="IN"/>
    <s v="Montgomery"/>
    <s v="INDEM"/>
    <s v="8224911"/>
    <s v="00038"/>
    <s v="47933NCRST400SO"/>
    <s v="Steel Mill"/>
    <s v="Electric Arc Furnaces"/>
    <n v="205.07951459999998"/>
    <s v="S|2005"/>
    <m/>
    <n v="96"/>
    <s v="Nucor Steel"/>
    <s v="Na"/>
    <s v="OP"/>
    <n v="2008"/>
    <s v="4537 S NUCOR RD"/>
    <s v="Crawfordsville"/>
    <n v="194.06685244665334"/>
    <s v="Nucor-Crawfordsville-IN (see 2nd TAB, major sources)"/>
    <s v="Have TRI and EPA Rule data; use EPA Rule data"/>
    <s v="EPA RULE DATA "/>
    <s v="TRI, RO or EPA RULE DATA"/>
    <s v="Facility Voluntarily Reported 86 LBS Hg from 2 EAFS in 2007 to IDEM.  "/>
    <s v="46 LBS                     40 LBS"/>
    <s v="001                               01A"/>
    <s v="01                                            01"/>
    <x v="69"/>
    <m/>
    <n v="86"/>
    <x v="3"/>
    <x v="56"/>
    <n v="96732414"/>
    <n v="7439976"/>
    <m/>
    <d v="2011-10-13T00:00:00"/>
    <s v="INDEM-computed for EAF based on state EF and 2008 Fuel Process Rate (FPRT) (Throughput)."/>
    <n v="88"/>
    <n v="9"/>
    <m/>
    <m/>
  </r>
  <r>
    <s v="40143"/>
    <s v="OK"/>
    <s v="Tulsa"/>
    <s v="OKDEQ"/>
    <s v="8234411"/>
    <s v="1453"/>
    <s v="74063SHFFL2300S"/>
    <s v="Steel Mill"/>
    <s v="Electric Arc Furnaces"/>
    <n v="195.49136999999999"/>
    <s v="R|2002"/>
    <m/>
    <m/>
    <s v="2300 S HWY 97"/>
    <s v="SHEFFIELD STEEL"/>
    <s v="OP"/>
    <n v="2008"/>
    <s v="2300 S HWY 97"/>
    <s v="SAND SPRINGS"/>
    <s v=""/>
    <m/>
    <s v="No TRI or SLT data even though there is SCC of 30300904 in the facility.    Question:  Could SLT provide emissions/information or do we use NATA data?"/>
    <s v="NATA  "/>
    <s v="Disagree"/>
    <s v="Updated SLT emissions using average EAF area factor of 0.00024 lb/Ton Steel Produced"/>
    <n v="128"/>
    <n v="10228"/>
    <n v="51644"/>
    <x v="70"/>
    <s v="Y"/>
    <m/>
    <x v="1"/>
    <x v="1"/>
    <m/>
    <n v="7439976"/>
    <m/>
    <d v="2011-10-24T00:00:00"/>
    <m/>
    <n v="0"/>
    <m/>
    <s v="computed 128 lbs using overall avge EF of 2.48e-4 lb/ton "/>
    <m/>
  </r>
  <r>
    <s v="42011"/>
    <s v="PA"/>
    <s v="Berks"/>
    <s v="PADEP"/>
    <s v="8234611"/>
    <s v="420110031"/>
    <s v="19612CRPNT101WB"/>
    <s v="Steel Mill"/>
    <s v="Electric Arc Furnaces"/>
    <n v="147.81792816000001"/>
    <s v="BOI-AUG|2005, R|2002"/>
    <m/>
    <m/>
    <s v="CARPENTER TECH CORP/READING PLT"/>
    <s v="EXIDE TECH"/>
    <s v="OP"/>
    <n v="2008"/>
    <s v="101 BERN ST"/>
    <s v="READING"/>
    <s v=""/>
    <m/>
    <s v="No TRI or other data for Hg available, even though there are SCCs of 30300906 in the facility inventory.     Question:  Could SLT provide emissions/information or do we use NATA data?"/>
    <s v="NATA  "/>
    <m/>
    <m/>
    <m/>
    <m/>
    <m/>
    <x v="71"/>
    <m/>
    <n v="10.11"/>
    <x v="3"/>
    <x v="57"/>
    <n v="16690014"/>
    <n v="7439976"/>
    <n v="13"/>
    <m/>
    <s v="Used EPA EAF 2010 testing program avge EF of  2.48e-4 lbs/ton steel and 2008 throughput provided by PA; assigned to only 2008-emitting process w/SCC 30300904"/>
    <n v="157"/>
    <n v="13"/>
    <m/>
    <m/>
  </r>
  <r>
    <s v="42011"/>
    <s v="PA"/>
    <s v="Berks"/>
    <s v="PADEP"/>
    <s v="8234611"/>
    <s v="420110031"/>
    <s v="19612CRPNT101WB"/>
    <s v="Steel Mill"/>
    <s v="Electric Arc Furnaces"/>
    <n v="147.81792816000001"/>
    <s v="BOI-AUG|2005, R|2002"/>
    <m/>
    <m/>
    <s v="CARPENTER TECH CORP/READING PLT"/>
    <s v="EXIDE TECH"/>
    <s v="OP"/>
    <n v="2008"/>
    <s v="101 BERN ST"/>
    <s v="READING"/>
    <s v=""/>
    <m/>
    <s v="No TRI or other data for Hg available, even though there are SCCs of 30300906 in the facility inventory.     Question:  Could SLT provide emissions/information or do we use NATA data?"/>
    <s v="NATA  "/>
    <m/>
    <m/>
    <m/>
    <m/>
    <m/>
    <x v="71"/>
    <m/>
    <n v="10.11"/>
    <x v="3"/>
    <x v="58"/>
    <n v="16689914"/>
    <n v="7439976"/>
    <n v="13"/>
    <m/>
    <s v="Used EPA EAF 2010 testing program avge EF of  2.48e-4 lbs/ton steel and 2008 throughput provided by PA; assigned to only 2008-emitting process w/SCC 30300904"/>
    <n v="157"/>
    <n v="13"/>
    <m/>
    <m/>
  </r>
  <r>
    <s v="42011"/>
    <s v="PA"/>
    <s v="Berks"/>
    <s v="PADEP"/>
    <s v="8234611"/>
    <s v="420110031"/>
    <s v="19612CRPNT101WB"/>
    <s v="Steel Mill"/>
    <s v="Electric Arc Furnaces"/>
    <n v="147.81792816000001"/>
    <s v="BOI-AUG|2005, R|2002"/>
    <m/>
    <m/>
    <s v="CARPENTER TECH CORP/READING PLT"/>
    <s v="EXIDE TECH"/>
    <s v="OP"/>
    <n v="2008"/>
    <s v="101 BERN ST"/>
    <s v="READING"/>
    <s v=""/>
    <m/>
    <s v="No TRI or other data for Hg available, even though there are SCCs of 30300906 in the facility inventory.     Question:  Could SLT provide emissions/information or do we use NATA data?"/>
    <s v="NATA  "/>
    <m/>
    <m/>
    <m/>
    <m/>
    <m/>
    <x v="71"/>
    <m/>
    <n v="10.11"/>
    <x v="3"/>
    <x v="59"/>
    <n v="16688914"/>
    <n v="7439976"/>
    <n v="13"/>
    <m/>
    <s v="Used EPA EAF 2010 testing program avge EF of  2.48e-4 lbs/ton steel and 2008 throughput provided by PA; assigned to only 2008-emitting process w/SCC 30300904"/>
    <n v="157"/>
    <n v="13"/>
    <m/>
    <m/>
  </r>
  <r>
    <s v="42011"/>
    <s v="PA"/>
    <s v="Berks"/>
    <s v="PADEP"/>
    <s v="8234611"/>
    <s v="420110031"/>
    <s v="19612CRPNT101WB"/>
    <s v="Steel Mill"/>
    <s v="Electric Arc Furnaces"/>
    <n v="147.81792816000001"/>
    <s v="BOI-AUG|2005, R|2002"/>
    <m/>
    <m/>
    <s v="CARPENTER TECH CORP/READING PLT"/>
    <s v="EXIDE TECH"/>
    <s v="OP"/>
    <n v="2008"/>
    <s v="101 BERN ST"/>
    <s v="READING"/>
    <s v=""/>
    <m/>
    <s v="No TRI or other data for Hg available, even though there are SCCs of 30300906 in the facility inventory.     Question:  Could SLT provide emissions/information or do we use NATA data?"/>
    <s v="NATA  "/>
    <m/>
    <m/>
    <m/>
    <m/>
    <m/>
    <x v="71"/>
    <m/>
    <n v="10.11"/>
    <x v="3"/>
    <x v="60"/>
    <n v="16690514"/>
    <n v="7439976"/>
    <n v="13"/>
    <m/>
    <s v="Used EPA EAF 2010 testing program avge EF of  2.48e-4 lbs/ton steel and 2008 throughput provided by PA; assigned to only 2008-emitting process w/SCC 30300904"/>
    <n v="157"/>
    <n v="13"/>
    <m/>
    <m/>
  </r>
  <r>
    <s v="37091"/>
    <s v="NC"/>
    <s v="Hertford"/>
    <s v="NCDAQ"/>
    <s v="8311911"/>
    <n v="3709100099"/>
    <s v="27922NCRST1505R"/>
    <s v="Steel Mill"/>
    <s v="Electric Arc Furnaces"/>
    <n v="385.31596999999999"/>
    <s v="S|2005"/>
    <n v="139.2672"/>
    <n v="139.28"/>
    <s v="Nucor Steel"/>
    <s v="Na"/>
    <s v="OP"/>
    <n v="2008"/>
    <s v="1505 River Road SR 1400"/>
    <s v="Cofield"/>
    <n v="583.32735154255954"/>
    <s v="Nucor-Cofield-NC"/>
    <s v="EPA rule data is higher than the data NC is submitting for Nucor (based on the staging table EPA reviewed) which is one of the missing NC facilities in 2008v1  so EPA will preferentially select EPA rule data"/>
    <s v="EPA RULE DATA "/>
    <s v="Disagree"/>
    <s v="Emission factor for Hg is based on site-specific stack test which NC believes is more representative of this process."/>
    <s v="01=138.53, 03=0.46, 20=0.27"/>
    <s v="G-66, ES04, G-67"/>
    <s v="01,03,20"/>
    <x v="72"/>
    <m/>
    <m/>
    <x v="1"/>
    <x v="1"/>
    <m/>
    <n v="7439976"/>
    <m/>
    <m/>
    <m/>
    <n v="0"/>
    <m/>
    <m/>
    <m/>
  </r>
  <r>
    <s v="37091"/>
    <s v="NC"/>
    <s v="Hertford"/>
    <s v="NCDAQ"/>
    <s v="8311911"/>
    <n v="3709100099"/>
    <s v="27922NCRST1505R"/>
    <s v="Steel Mill"/>
    <s v="Electric Arc Furnaces"/>
    <n v="385.31596999999999"/>
    <s v="S|2005"/>
    <n v="139.2672"/>
    <n v="139.28"/>
    <s v="Nucor Steel"/>
    <s v="Na"/>
    <s v="OP"/>
    <n v="2008"/>
    <s v="1505 River Road SR 1400"/>
    <s v="Cofield"/>
    <n v="583.32735154255954"/>
    <s v="Nucor-Cofield-NC"/>
    <s v="EPA rule data is higher than the data NC is submitting for Nucor (based on the staging table EPA reviewed) which is one of the missing NC facilities in 2008v1  so EPA will preferentially select EPA rule data"/>
    <s v="EPA RULE DATA "/>
    <s v="Disagree"/>
    <s v="Emission factor for Hg is based on site-specific stack test which NC believes is more representative of this process."/>
    <s v="01=138.53, 03=0.46, 20=0.27"/>
    <s v="G-66, ES04, G-67"/>
    <s v="01,03,20"/>
    <x v="72"/>
    <m/>
    <m/>
    <x v="0"/>
    <x v="0"/>
    <n v="18580314"/>
    <n v="7439976"/>
    <m/>
    <m/>
    <s v="EPA EAF  ICR data based on 2010 emissions testing and recorded steel production rates, resulting EF applied to 2009 steel production (Donna Lee Jones, EPA/OAQPS/SPPD)"/>
    <n v="166"/>
    <n v="10"/>
    <m/>
    <m/>
  </r>
  <r>
    <s v="39151"/>
    <s v="OH"/>
    <s v="Stark"/>
    <s v="OHEPA"/>
    <s v="8521511"/>
    <s v="1576050694"/>
    <s v="44704LTVST26338"/>
    <s v="Steel Mill"/>
    <s v="Electric Arc Furnaces"/>
    <n v="342.10989800000004"/>
    <s v="N|2002"/>
    <m/>
    <n v="84.2"/>
    <s v="Republic Engineered Products, Inc. (1576050694)"/>
    <s v=""/>
    <s v="OP"/>
    <n v="1994"/>
    <s v="2633 Eighth Street NE"/>
    <s v="Canton"/>
    <s v=""/>
    <s v=" "/>
    <s v="No SLT data, use TRI DATA"/>
    <s v="TRI 2008"/>
    <m/>
    <m/>
    <m/>
    <m/>
    <m/>
    <x v="73"/>
    <m/>
    <m/>
    <x v="2"/>
    <x v="61"/>
    <n v="101087814"/>
    <n v="7439976"/>
    <n v="228"/>
    <m/>
    <s v="2008TRI;  assigned to processes with EAF SCCs based on state-reported Pb emissions"/>
    <n v="82"/>
    <n v="2"/>
    <m/>
    <m/>
  </r>
  <r>
    <s v="39151"/>
    <s v="OH"/>
    <s v="Stark"/>
    <s v="OHEPA"/>
    <s v="8521511"/>
    <s v="1576050694"/>
    <s v="44704LTVST26338"/>
    <s v="Steel Mill"/>
    <s v="Electric Arc Furnaces"/>
    <n v="342.10989800000004"/>
    <s v="N|2002"/>
    <m/>
    <n v="84.2"/>
    <s v="Republic Engineered Products, Inc. (1576050694)"/>
    <s v=""/>
    <s v="OP"/>
    <n v="1994"/>
    <s v="2633 Eighth Street NE"/>
    <s v="Canton"/>
    <s v=""/>
    <s v=" "/>
    <s v="No SLT data, use TRI DATA"/>
    <s v="TRI 2008"/>
    <m/>
    <m/>
    <m/>
    <m/>
    <m/>
    <x v="73"/>
    <m/>
    <m/>
    <x v="2"/>
    <x v="62"/>
    <n v="101087914"/>
    <n v="7439976"/>
    <n v="234"/>
    <m/>
    <s v="2008TRI; assigned to processes with EAF SCCs based on state-reported Pb emissions"/>
    <n v="81"/>
    <n v="2"/>
    <m/>
    <m/>
  </r>
  <r>
    <s v="18063"/>
    <s v="IN"/>
    <s v="Hendricks"/>
    <s v="INDEM"/>
    <s v="9662811"/>
    <s v="00037"/>
    <s v="46167QLTCH8000N"/>
    <s v=""/>
    <s v="Electric Arc Furnaces"/>
    <m/>
    <m/>
    <m/>
    <m/>
    <s v="Steel Dynamics, Inc (Sdi) Bar Products"/>
    <s v=""/>
    <s v="OP"/>
    <n v="2008"/>
    <s v="8000 N County Rd 225 E"/>
    <s v="Pittsboro"/>
    <n v="66.728198947477523"/>
    <s v="Steel Dynamics-Pittsboro-IN"/>
    <s v="No SLT nor TRI data.  Use EPA Rule data"/>
    <s v="EPA RULE DATA "/>
    <s v="EST or EPA RULE DATA"/>
    <s v="Estimate based on state EF and 2008 FPRT."/>
    <s v="40 LBS"/>
    <s v="001"/>
    <s v="01"/>
    <x v="74"/>
    <m/>
    <n v="40"/>
    <x v="3"/>
    <x v="0"/>
    <n v="71500314"/>
    <n v="7439976"/>
    <m/>
    <d v="2011-10-13T00:00:00"/>
    <s v="INDEM-computed for EAF based on state EF and 2008 Fuel Process Rate (FPRT) (Throughput)."/>
    <n v="88"/>
    <n v="9"/>
    <m/>
    <m/>
  </r>
  <r>
    <s v="18063"/>
    <s v="IN"/>
    <s v="Hendricks"/>
    <s v="INDEM"/>
    <s v="9662811"/>
    <s v="00037"/>
    <s v="46167QLTCH8000N"/>
    <s v=""/>
    <s v="Electric Arc Furnaces"/>
    <m/>
    <m/>
    <m/>
    <m/>
    <s v="Steel Dynamics, Inc (Sdi) Bar Products"/>
    <s v=""/>
    <s v="OP"/>
    <n v="2008"/>
    <s v="8000 N County Rd 225 E"/>
    <s v="Pittsboro"/>
    <n v="66.728198947477523"/>
    <s v="Steel Dynamics-Pittsboro-IN"/>
    <s v="No SLT nor TRI data.  Use EPA Rule data"/>
    <s v="EPA RULE DATA "/>
    <s v="EST or EPA RULE DATA"/>
    <s v="Estimate based on state EF and 2008 FPRT."/>
    <s v="40 LBS"/>
    <s v="001"/>
    <s v="01"/>
    <x v="74"/>
    <m/>
    <s v=" "/>
    <x v="0"/>
    <x v="0"/>
    <n v="71500314"/>
    <n v="7439976"/>
    <m/>
    <d v="2011-10-13T00:00:00"/>
    <s v="EPA EAF  ICR data based on 2010 emissions testing and recorded steel production rates, resulting EF applied to 2009 steel production (Donna Lee Jones, EPA/OAQPS/SPPD)"/>
    <n v="166"/>
    <n v="10"/>
    <m/>
    <m/>
  </r>
  <r>
    <s v="47157"/>
    <s v="TN"/>
    <s v="Shelby"/>
    <s v="MSC_HD"/>
    <s v="12569611"/>
    <s v="00710"/>
    <s v="38109BRMNG3601P"/>
    <s v=""/>
    <s v="Electric Arc Furnaces"/>
    <m/>
    <m/>
    <m/>
    <n v="3.4299999999999997"/>
    <s v="Nucor Steel Memphis Inc."/>
    <s v="Nucor Corporation"/>
    <s v="OP"/>
    <m/>
    <s v="3601 Paul R. Lowry Road"/>
    <s v="Memphis"/>
    <s v=""/>
    <s v=" "/>
    <s v="TRI data, but no NATA or EIS data.  Agency reports emissions for other pollutants at unit described as EAF but did not report not Hg."/>
    <s v="TRI 2008"/>
    <s v="Agree"/>
    <s v="Nucor Steel Memphis participates in EPA's NVMSRP which, coupled with the direct shell baghouse control (about 99%), results in 3.4 pounds of Hg emissions exhaust and 0.03 pounds fugitive.  "/>
    <s v="No"/>
    <s v="MB-1.1"/>
    <s v="MB-1.1"/>
    <x v="75"/>
    <m/>
    <m/>
    <x v="2"/>
    <x v="0"/>
    <s v="116970414"/>
    <n v="7439976"/>
    <m/>
    <d v="2011-10-25T00:00:00"/>
    <s v="2008TRI; apportioned to the process recommended by Shelby"/>
    <n v="57"/>
    <n v="2"/>
    <m/>
    <m/>
  </r>
  <r>
    <s v="39151"/>
    <s v="OH"/>
    <s v="Stark"/>
    <s v="OHEPA"/>
    <s v="13572711"/>
    <s v="1576222001"/>
    <s v=""/>
    <s v=""/>
    <s v="Electric Arc Furnaces"/>
    <m/>
    <m/>
    <m/>
    <m/>
    <s v="Faircrest Steel (1576222001)"/>
    <s v=""/>
    <s v="OP"/>
    <n v="2007"/>
    <s v="1835 Dueber Avenue, S.W."/>
    <s v="Canton"/>
    <n v="0.44352521109131304"/>
    <s v="Timken-Faircrest-OH"/>
    <s v="No SLT data.  Use EPA Rule data"/>
    <s v="EPA RULE DATA "/>
    <m/>
    <s v="OHIO put it in the system:  EPA EAF  ICR data based on 2010 emissions testing and recorded steel production rates, resulting EF applied to OH-supplied production for 2008"/>
    <m/>
    <m/>
    <m/>
    <x v="76"/>
    <s v="YES"/>
    <n v="0.97399999999999998"/>
    <x v="1"/>
    <x v="1"/>
    <s v="101096714"/>
    <n v="7439976"/>
    <s v=" "/>
    <m/>
    <s v=" "/>
    <n v="1"/>
    <s v=" "/>
    <m/>
    <m/>
  </r>
  <r>
    <s v="39151"/>
    <s v="OH"/>
    <s v="Stark"/>
    <s v="OHEPA"/>
    <s v="13572711"/>
    <s v="1576222001"/>
    <s v=""/>
    <s v=""/>
    <s v="Electric Arc Furnaces"/>
    <m/>
    <m/>
    <m/>
    <m/>
    <s v="Faircrest Steel (1576222001)"/>
    <s v=""/>
    <s v="OP"/>
    <n v="2007"/>
    <s v="1835 Dueber Avenue, S.W."/>
    <s v="Canton"/>
    <n v="0.44352521109131304"/>
    <s v="Timken-Faircrest-OH"/>
    <s v="No SLT data.  Use EPA Rule data"/>
    <s v="EPA RULE DATA "/>
    <m/>
    <s v="OHIO put it in the system:  EPA EAF  ICR data based on 2010 emissions testing and recorded steel production rates, resulting EF applied to OH-supplied production for 2008"/>
    <m/>
    <m/>
    <m/>
    <x v="76"/>
    <s v="YES"/>
    <n v="0.97399999999999998"/>
    <x v="0"/>
    <x v="0"/>
    <s v="101096714"/>
    <n v="7439976"/>
    <s v=" "/>
    <m/>
    <s v="EPA EAF  ICR data based on 2010 emissions testing and recorded steel production rates, resulting EF applied to 2009 steel production (Donna Lee Jones, EPA/OAQPS/SPPD); assigned to processes based on Agency-reported EAF Hg emissions"/>
    <n v="231"/>
    <n v="10"/>
    <m/>
    <m/>
  </r>
  <r>
    <s v="39151"/>
    <s v="OH"/>
    <s v="Stark"/>
    <s v="OHEPA"/>
    <s v="13572911"/>
    <s v="1576222002"/>
    <s v=""/>
    <s v=""/>
    <s v="Electric Arc Furnaces"/>
    <m/>
    <m/>
    <m/>
    <m/>
    <s v="Harrison Steel (1576222002)"/>
    <s v=""/>
    <s v="OP"/>
    <n v="2007"/>
    <s v="1835 Dueber Avenue, S.W."/>
    <s v="Canton"/>
    <n v="0.642228709388313"/>
    <s v="Timken-Harrison-OH"/>
    <s v="No SLT data.  Use EPA Rule data"/>
    <s v="EPA RULE DATA "/>
    <m/>
    <s v="OHIO put it in the system:  EPA EAF  ICR data based on 2010 emissions testing and recorded steel production rates, resulting EF applied to OH-supplied production for 2008"/>
    <m/>
    <m/>
    <m/>
    <x v="77"/>
    <m/>
    <n v="0.45618999999999998"/>
    <x v="1"/>
    <x v="1"/>
    <s v="101098714"/>
    <n v="7439976"/>
    <m/>
    <d v="2011-10-24T00:00:00"/>
    <s v="EPA EAF  ICR data based on 2010 emissions testing and recorded steel production rates, resulting EF applied to OH-supplied production for 2008"/>
    <n v="142"/>
    <s v=" "/>
    <m/>
    <m/>
  </r>
  <r>
    <s v="39151"/>
    <s v="OH"/>
    <s v="Stark"/>
    <s v="OHEPA"/>
    <s v="13572911"/>
    <s v="1576222002"/>
    <s v=""/>
    <s v=""/>
    <s v="Electric Arc Furnaces"/>
    <m/>
    <m/>
    <m/>
    <m/>
    <s v="Harrison Steel (1576222002)"/>
    <s v=""/>
    <s v="OP"/>
    <n v="2007"/>
    <s v="1835 Dueber Avenue, S.W."/>
    <s v="Canton"/>
    <n v="0.642228709388313"/>
    <s v="Timken-Harrison-OH"/>
    <s v="No SLT data.  Use EPA Rule data"/>
    <s v="EPA RULE DATA "/>
    <m/>
    <s v="OHIO put it in the system:  EPA EAF  ICR data based on 2010 emissions testing and recorded steel production rates, resulting EF applied to OH-supplied production for 2008"/>
    <m/>
    <m/>
    <m/>
    <x v="77"/>
    <m/>
    <n v="0.45618999999999998"/>
    <x v="1"/>
    <x v="1"/>
    <n v="101099614"/>
    <n v="7439976"/>
    <m/>
    <d v="2011-10-24T00:00:00"/>
    <s v="EPA EAF  ICR data based on 2010 emissions testing and recorded steel production rates, resulting EF applied to OH-supplied production for 2008"/>
    <n v="142"/>
    <n v="13"/>
    <m/>
    <m/>
  </r>
  <r>
    <s v="37119"/>
    <s v="NC"/>
    <s v="Mechlenberg"/>
    <s v="NCMCAQ"/>
    <s v="8048711"/>
    <s v="0567"/>
    <m/>
    <m/>
    <s v="Electric Arc Furnaces"/>
    <m/>
    <m/>
    <n v="61.2"/>
    <m/>
    <s v="Gerdau Ameristeel US Inc. Charlotte Steel Mill Div"/>
    <m/>
    <m/>
    <m/>
    <m/>
    <s v="Charlotte"/>
    <n v="186.06653538490156"/>
    <s v="Gerdau-Charlotte-NC"/>
    <s v="this was inadvertantly left out of the spreadsheet and added 10/28/2011.  email sent to Meck county week of 10/24 and Jason Rayfield has not gotten backyet"/>
    <s v="EPA RULE DATA "/>
    <s v="Disagree"/>
    <s v="The 2008 mercury EIS entry for Gerdau-Charlotte was based on a previous site-specific test event.  We will not change that number based on the 2010 test."/>
    <m/>
    <m/>
    <m/>
    <x v="78"/>
    <m/>
    <m/>
    <x v="1"/>
    <x v="1"/>
    <n v="18818614"/>
    <n v="7439976"/>
    <m/>
    <m/>
    <m/>
    <n v="0"/>
    <m/>
    <m/>
    <m/>
  </r>
  <r>
    <s v="37119"/>
    <s v="NC"/>
    <s v="Mechlenberg"/>
    <s v="NCMCAQ"/>
    <s v="8048711"/>
    <s v="0567"/>
    <m/>
    <m/>
    <s v="Electric Arc Furnaces"/>
    <m/>
    <m/>
    <n v="61.2"/>
    <m/>
    <s v="Gerdau Ameristeel US Inc. Charlotte Steel Mill Div"/>
    <m/>
    <m/>
    <m/>
    <m/>
    <s v="Charlotte"/>
    <n v="186.06653538490156"/>
    <s v="Gerdau-Charlotte-NC"/>
    <s v="this was inadvertantly left out of the spreadsheet and added 10/28/2011.  email sent to Meck county week of 10/24 and Jason Rayfield has not gotten backyet"/>
    <s v="EPA RULE DATA "/>
    <s v="Disagree"/>
    <s v="The 2008 mercury EIS entry for Gerdau-Charlotte was based on a previous site-specific test event.  We will not change that number based on the 2010 test."/>
    <m/>
    <m/>
    <m/>
    <x v="78"/>
    <m/>
    <m/>
    <x v="0"/>
    <x v="0"/>
    <n v="18818614"/>
    <n v="7439976"/>
    <m/>
    <d v="2011-11-16T00:00:00"/>
    <s v="EPA EAF  ICR data based on 2010 emissions testing and recorded steel production rates, resulting EF applied to 2009 steel production (Donna Lee Jones, EPA/OAQPS/SPPD)"/>
    <n v="166"/>
    <n v="10"/>
    <m/>
    <m/>
  </r>
  <r>
    <s v="34023"/>
    <s v="NJ"/>
    <s v="Middlesex"/>
    <s v="NJDEP"/>
    <n v="7442611"/>
    <n v="18052"/>
    <m/>
    <m/>
    <m/>
    <m/>
    <m/>
    <n v="44.9"/>
    <m/>
    <s v="Gerdau Ameristeel Sayreville"/>
    <m/>
    <m/>
    <m/>
    <m/>
    <s v="SAYREVILLE"/>
    <n v="77"/>
    <s v="Gerdau-Sayrreville-NJ"/>
    <s v="this was not sent to NJ.  Part of rule data from 10-19-11 spreadsheet from Donna Lee Jones"/>
    <m/>
    <m/>
    <m/>
    <m/>
    <m/>
    <m/>
    <x v="1"/>
    <m/>
    <n v="61"/>
    <x v="3"/>
    <x v="0"/>
    <n v="91825114"/>
    <n v="7439976"/>
    <m/>
    <s v="11/15/2011 phone conversation Danny wong.  He is ok using EPA data"/>
    <s v="EAF EF of 1.0E-4 lbs Hg/ton steel from  compliance source test perfrmed since 2008 obtained from state agency for EAF rule development and provided by EPA/SPPD Donna Lee Jones. 2008 Thruput of 610,000 tons  from NJ.  Assigned to EAF process."/>
    <n v="241"/>
    <n v="10"/>
    <m/>
    <m/>
  </r>
  <r>
    <s v="34023"/>
    <s v="NJ"/>
    <s v="Middlesex"/>
    <s v="NJDEP"/>
    <n v="7442611"/>
    <n v="18052"/>
    <m/>
    <m/>
    <m/>
    <m/>
    <m/>
    <n v="44.9"/>
    <m/>
    <s v="Gerdau Ameristeel Sayreville"/>
    <m/>
    <m/>
    <m/>
    <m/>
    <s v="SAYREVILLE"/>
    <n v="77"/>
    <s v="Gerdau-Sayrreville-NJ"/>
    <s v="this was not sent to NJ.  Part of rule data from 10-19-11 spreadsheet from Donna Lee Jones"/>
    <m/>
    <m/>
    <m/>
    <m/>
    <m/>
    <m/>
    <x v="1"/>
    <m/>
    <n v="0"/>
    <x v="3"/>
    <x v="0"/>
    <n v="91827914"/>
    <n v="7439976"/>
    <m/>
    <s v="11/15/2011 phone conversation Danny wong.  He is ok using EPA data"/>
    <s v="EAF Hg reported by state as facility total is 44.99lbs --in order to avoid double counting with EAF process-level Hg emissions of 61 lbs based on compliance test EF, the EPA_OTHER  value for the facility-total (at the FCO unit) Hg must be zero."/>
    <n v="244"/>
    <n v="10"/>
    <m/>
    <m/>
  </r>
  <r>
    <s v="34023"/>
    <s v="NJ"/>
    <s v="Middlesex"/>
    <s v="NJDEP"/>
    <n v="7442611"/>
    <n v="18052"/>
    <m/>
    <m/>
    <m/>
    <m/>
    <m/>
    <n v="44.9"/>
    <m/>
    <s v="Gerdau Ameristeel Sayreville"/>
    <m/>
    <m/>
    <m/>
    <m/>
    <s v="SAYREVILLE"/>
    <n v="77"/>
    <s v="Gerdau-Sayrreville-NJ"/>
    <s v="this was not sent to NJ.  Part of rule data from 10-19-11 spreadsheet from Donna Lee Jones"/>
    <m/>
    <m/>
    <m/>
    <m/>
    <m/>
    <m/>
    <x v="79"/>
    <m/>
    <s v=" "/>
    <x v="0"/>
    <x v="0"/>
    <n v="91825114"/>
    <n v="7439976"/>
    <m/>
    <s v="11/15/2011 phone conversation Danny wong.  He is ok using EPA data"/>
    <s v="EAF EF of 1.0E-4lb/ton steel from compliance source tests obtained from the state agency that were performed since June 2008 and collected for OAQPS/SPPD EAF rule development.  Used 2009 Total capacity from AIST directory of 750,000 tons steel.   "/>
    <n v="247"/>
    <n v="10"/>
    <m/>
    <m/>
  </r>
  <r>
    <s v="34023"/>
    <s v="NJ"/>
    <s v="Middlesex"/>
    <s v="NJDEP"/>
    <n v="7442611"/>
    <n v="18052"/>
    <m/>
    <m/>
    <m/>
    <m/>
    <m/>
    <n v="44.9"/>
    <m/>
    <s v="Gerdau Ameristeel Sayreville"/>
    <m/>
    <m/>
    <m/>
    <m/>
    <s v="SAYREVILLE"/>
    <n v="0"/>
    <s v="Gerdau-Sayrreville-NJ"/>
    <s v="this was not sent to NJ.  Part of rule data from 10-19-11 spreadsheet from Donna Lee Jones"/>
    <m/>
    <m/>
    <m/>
    <m/>
    <m/>
    <m/>
    <x v="79"/>
    <m/>
    <n v="0"/>
    <x v="0"/>
    <x v="0"/>
    <n v="91827914"/>
    <n v="7439976"/>
    <m/>
    <s v="11/15/2011 phone conversation Danny wong.  He is ok using EPA data"/>
    <s v="EAF Hg reported by state as facility total is 44.99lbs --in order to avoid double counting with EAF process-level Hg emissions of 61 lbs based on compliance test EF, the EPA_OTHER  value for the facility-total (at the FCO unit) Hg must be zero."/>
    <n v="244"/>
    <n v="10"/>
    <m/>
    <m/>
  </r>
  <r>
    <s v="10003"/>
    <s v="DE"/>
    <s v="New Castle"/>
    <s v="DEDNR"/>
    <n v="715211"/>
    <n v="1000300063"/>
    <m/>
    <m/>
    <m/>
    <m/>
    <m/>
    <n v="280"/>
    <m/>
    <s v=" EVRAZ CLAYMONT STEEL"/>
    <m/>
    <m/>
    <m/>
    <s v="4001 PHILADELPHIA PIKE"/>
    <s v="CLAYMONT"/>
    <n v="191"/>
    <s v="Evraz-Claymone-DE"/>
    <s v="this was not sent to NJ.  Part of rule data from 10-19-11 spreadsheet from Donna Lee Jones"/>
    <m/>
    <m/>
    <m/>
    <m/>
    <m/>
    <m/>
    <x v="80"/>
    <m/>
    <n v="162.98723999999999"/>
    <x v="3"/>
    <x v="0"/>
    <n v="48985214"/>
    <n v="7439976"/>
    <m/>
    <s v="11/15/2011 email exchange with Outten"/>
    <s v="EAF Hg computed from an EF of 3.9E-4 lbs/ton steel from state compliance testing - provided by OAQPS/SPPD as part of the EAF rule development, and a 2008 throughput of 417916 tons provided by Delaware"/>
    <n v="200"/>
    <n v="10"/>
    <m/>
    <m/>
  </r>
  <r>
    <s v="10003"/>
    <s v="DE"/>
    <s v="New Castle"/>
    <s v="DEDNR"/>
    <n v="715211"/>
    <n v="1000300063"/>
    <m/>
    <m/>
    <m/>
    <m/>
    <m/>
    <n v="280"/>
    <m/>
    <s v=" EVRAZ CLAYMONT STEEL"/>
    <m/>
    <m/>
    <m/>
    <s v="4001 PHILADELPHIA PIKE"/>
    <s v="CLAYMONT"/>
    <n v="191"/>
    <s v="Evraz-Claymone-DE"/>
    <s v="this was not sent to NJ.  Part of rule data from 10-19-11 spreadsheet from Donna Lee Jones"/>
    <m/>
    <m/>
    <m/>
    <m/>
    <m/>
    <m/>
    <x v="80"/>
    <m/>
    <s v=" "/>
    <x v="0"/>
    <x v="0"/>
    <n v="48985214"/>
    <n v="7439976"/>
    <m/>
    <s v="11/15/2011 email exchange with Outten"/>
    <s v="EAF EF of 3.9E-4lb/ton steel from compliance source tests obtained from the state agency that were performed since June 2008 and collected for OAQPS/SPPD EAF rule development.  Used 2009 Total capacity from AIST directory of 490,000 tons steel.   "/>
    <n v="247"/>
    <n v="10"/>
    <m/>
    <m/>
  </r>
  <r>
    <m/>
    <m/>
    <m/>
    <m/>
    <m/>
    <m/>
    <s v=" "/>
    <m/>
    <m/>
    <m/>
    <m/>
    <m/>
    <m/>
    <m/>
    <m/>
    <m/>
    <m/>
    <m/>
    <m/>
    <m/>
    <m/>
    <m/>
    <m/>
    <m/>
    <m/>
    <m/>
    <m/>
    <m/>
    <x v="81"/>
    <m/>
    <m/>
    <x v="6"/>
    <x v="17"/>
    <m/>
    <m/>
    <m/>
    <m/>
    <s v=" "/>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1" applyNumberFormats="0" applyBorderFormats="0" applyFontFormats="0" applyPatternFormats="0" applyAlignmentFormats="0" applyWidthHeightFormats="1" dataCaption="Values" updatedVersion="3" minRefreshableVersion="3" showCalcMbrs="0" useAutoFormatting="1" itemPrintTitles="1" createdVersion="3" indent="0" compact="0" compactData="0" gridDropZones="1" multipleFieldFilters="0">
  <location ref="A3:D126" firstHeaderRow="2" firstDataRow="2" firstDataCol="3"/>
  <pivotFields count="42">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axis="axisRow" compact="0" outline="0" showAll="0" defaultSubtotal="0">
      <items count="82">
        <item x="80"/>
        <item x="79"/>
        <item x="55"/>
        <item x="4"/>
        <item x="5"/>
        <item x="6"/>
        <item x="7"/>
        <item x="8"/>
        <item x="9"/>
        <item x="10"/>
        <item x="75"/>
        <item x="76"/>
        <item x="77"/>
        <item x="11"/>
        <item x="12"/>
        <item x="13"/>
        <item x="14"/>
        <item x="15"/>
        <item x="16"/>
        <item x="17"/>
        <item x="18"/>
        <item x="19"/>
        <item x="20"/>
        <item x="21"/>
        <item x="22"/>
        <item x="23"/>
        <item x="24"/>
        <item x="25"/>
        <item x="26"/>
        <item x="27"/>
        <item x="28"/>
        <item x="29"/>
        <item x="30"/>
        <item x="31"/>
        <item x="32"/>
        <item x="0"/>
        <item x="33"/>
        <item x="34"/>
        <item x="35"/>
        <item x="36"/>
        <item x="37"/>
        <item x="38"/>
        <item x="39"/>
        <item x="40"/>
        <item x="41"/>
        <item x="42"/>
        <item x="43"/>
        <item x="44"/>
        <item x="45"/>
        <item x="46"/>
        <item x="47"/>
        <item x="48"/>
        <item x="49"/>
        <item x="50"/>
        <item x="51"/>
        <item x="52"/>
        <item x="53"/>
        <item x="54"/>
        <item x="56"/>
        <item x="57"/>
        <item x="58"/>
        <item x="59"/>
        <item x="60"/>
        <item x="78"/>
        <item x="61"/>
        <item x="62"/>
        <item x="63"/>
        <item x="64"/>
        <item x="65"/>
        <item x="66"/>
        <item x="67"/>
        <item x="68"/>
        <item x="69"/>
        <item x="70"/>
        <item x="71"/>
        <item x="1"/>
        <item x="72"/>
        <item x="73"/>
        <item x="74"/>
        <item x="2"/>
        <item x="3"/>
        <item x="81"/>
      </items>
    </pivotField>
    <pivotField compact="0" outline="0" showAll="0"/>
    <pivotField compact="0" outline="0" showAll="0"/>
    <pivotField axis="axisRow" compact="0" outline="0" showAll="0">
      <items count="8">
        <item x="3"/>
        <item x="0"/>
        <item x="5"/>
        <item h="1" x="4"/>
        <item h="1" x="1"/>
        <item x="2"/>
        <item x="6"/>
        <item t="default"/>
      </items>
    </pivotField>
    <pivotField axis="axisRow" dataField="1" compact="0" outline="0" showAll="0" defaultSubtotal="0">
      <items count="63">
        <item x="1"/>
        <item x="51"/>
        <item x="33"/>
        <item x="35"/>
        <item x="52"/>
        <item x="36"/>
        <item x="34"/>
        <item x="45"/>
        <item x="25"/>
        <item x="14"/>
        <item x="46"/>
        <item x="47"/>
        <item x="13"/>
        <item x="42"/>
        <item x="28"/>
        <item x="4"/>
        <item x="27"/>
        <item x="19"/>
        <item x="54"/>
        <item x="39"/>
        <item x="2"/>
        <item x="10"/>
        <item x="57"/>
        <item x="60"/>
        <item x="16"/>
        <item x="12"/>
        <item x="58"/>
        <item x="22"/>
        <item x="44"/>
        <item x="3"/>
        <item x="59"/>
        <item x="7"/>
        <item x="29"/>
        <item x="8"/>
        <item x="41"/>
        <item x="6"/>
        <item x="24"/>
        <item x="37"/>
        <item x="48"/>
        <item x="26"/>
        <item x="56"/>
        <item x="11"/>
        <item x="5"/>
        <item x="61"/>
        <item x="31"/>
        <item x="62"/>
        <item x="55"/>
        <item x="43"/>
        <item x="49"/>
        <item x="38"/>
        <item x="30"/>
        <item x="23"/>
        <item x="21"/>
        <item x="15"/>
        <item x="9"/>
        <item x="40"/>
        <item x="53"/>
        <item x="20"/>
        <item x="32"/>
        <item x="50"/>
        <item x="0"/>
        <item x="18"/>
        <item x="17"/>
      </items>
    </pivotField>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s>
  <rowFields count="3">
    <field x="28"/>
    <field x="32"/>
    <field x="31"/>
  </rowFields>
  <rowItems count="122">
    <i>
      <x/>
      <x v="60"/>
      <x/>
    </i>
    <i r="2">
      <x v="1"/>
    </i>
    <i>
      <x v="1"/>
      <x v="60"/>
      <x v="1"/>
    </i>
    <i>
      <x v="2"/>
      <x v="19"/>
      <x v="1"/>
    </i>
    <i r="1">
      <x v="55"/>
      <x v="1"/>
    </i>
    <i>
      <x v="5"/>
      <x v="60"/>
      <x v="1"/>
    </i>
    <i>
      <x v="8"/>
      <x v="60"/>
      <x v="5"/>
    </i>
    <i>
      <x v="9"/>
      <x v="60"/>
      <x v="1"/>
    </i>
    <i>
      <x v="10"/>
      <x v="60"/>
      <x v="5"/>
    </i>
    <i>
      <x v="11"/>
      <x v="60"/>
      <x v="1"/>
    </i>
    <i>
      <x v="14"/>
      <x v="60"/>
      <x v="1"/>
    </i>
    <i>
      <x v="15"/>
      <x v="60"/>
      <x/>
    </i>
    <i>
      <x v="17"/>
      <x/>
      <x/>
    </i>
    <i r="2">
      <x v="1"/>
    </i>
    <i r="2">
      <x v="5"/>
    </i>
    <i r="1">
      <x v="15"/>
      <x/>
    </i>
    <i r="2">
      <x v="1"/>
    </i>
    <i r="2">
      <x v="5"/>
    </i>
    <i r="1">
      <x v="20"/>
      <x/>
    </i>
    <i r="2">
      <x v="1"/>
    </i>
    <i r="2">
      <x v="5"/>
    </i>
    <i r="1">
      <x v="29"/>
      <x/>
    </i>
    <i r="2">
      <x v="1"/>
    </i>
    <i r="2">
      <x v="5"/>
    </i>
    <i r="1">
      <x v="42"/>
      <x/>
    </i>
    <i r="2">
      <x v="1"/>
    </i>
    <i r="2">
      <x v="5"/>
    </i>
    <i>
      <x v="18"/>
      <x v="31"/>
      <x/>
    </i>
    <i r="1">
      <x v="33"/>
      <x/>
    </i>
    <i r="1">
      <x v="35"/>
      <x/>
    </i>
    <i>
      <x v="19"/>
      <x v="60"/>
      <x/>
    </i>
    <i>
      <x v="20"/>
      <x v="21"/>
      <x v="1"/>
    </i>
    <i r="1">
      <x v="54"/>
      <x v="1"/>
    </i>
    <i>
      <x v="21"/>
      <x v="60"/>
      <x v="5"/>
    </i>
    <i>
      <x v="22"/>
      <x v="60"/>
      <x/>
    </i>
    <i>
      <x v="25"/>
      <x v="12"/>
      <x/>
    </i>
    <i r="1">
      <x v="25"/>
      <x/>
    </i>
    <i r="1">
      <x v="41"/>
      <x/>
    </i>
    <i>
      <x v="26"/>
      <x v="60"/>
      <x v="2"/>
    </i>
    <i>
      <x v="27"/>
      <x v="9"/>
      <x v="1"/>
    </i>
    <i r="1">
      <x v="24"/>
      <x v="1"/>
    </i>
    <i r="1">
      <x v="53"/>
      <x v="1"/>
    </i>
    <i>
      <x v="28"/>
      <x v="60"/>
      <x v="1"/>
    </i>
    <i>
      <x v="29"/>
      <x v="60"/>
      <x v="1"/>
    </i>
    <i>
      <x v="30"/>
      <x v="60"/>
      <x v="1"/>
    </i>
    <i>
      <x v="31"/>
      <x v="60"/>
      <x/>
    </i>
    <i>
      <x v="32"/>
      <x v="60"/>
      <x/>
    </i>
    <i r="2">
      <x v="1"/>
    </i>
    <i>
      <x v="33"/>
      <x v="17"/>
      <x v="1"/>
    </i>
    <i r="1">
      <x v="57"/>
      <x v="1"/>
    </i>
    <i>
      <x v="35"/>
      <x v="60"/>
      <x v="1"/>
    </i>
    <i>
      <x v="36"/>
      <x v="27"/>
      <x v="1"/>
    </i>
    <i r="1">
      <x v="52"/>
      <x v="1"/>
    </i>
    <i>
      <x v="37"/>
      <x v="60"/>
      <x/>
    </i>
    <i>
      <x v="39"/>
      <x v="8"/>
      <x/>
    </i>
    <i r="1">
      <x v="36"/>
      <x/>
    </i>
    <i r="1">
      <x v="51"/>
      <x/>
    </i>
    <i>
      <x v="40"/>
      <x v="16"/>
      <x/>
    </i>
    <i r="1">
      <x v="39"/>
      <x/>
    </i>
    <i>
      <x v="41"/>
      <x v="60"/>
      <x/>
    </i>
    <i>
      <x v="42"/>
      <x v="14"/>
      <x/>
    </i>
    <i r="1">
      <x v="32"/>
      <x/>
    </i>
    <i r="1">
      <x v="50"/>
      <x/>
    </i>
    <i>
      <x v="43"/>
      <x v="60"/>
      <x v="5"/>
    </i>
    <i>
      <x v="44"/>
      <x/>
      <x/>
    </i>
    <i r="1">
      <x v="44"/>
      <x/>
    </i>
    <i>
      <x v="46"/>
      <x v="60"/>
      <x v="1"/>
    </i>
    <i>
      <x v="47"/>
      <x v="60"/>
      <x v="1"/>
    </i>
    <i>
      <x v="50"/>
      <x v="60"/>
      <x/>
    </i>
    <i r="2">
      <x v="1"/>
    </i>
    <i>
      <x v="51"/>
      <x v="2"/>
      <x/>
    </i>
    <i r="1">
      <x v="3"/>
      <x/>
    </i>
    <i r="1">
      <x v="5"/>
      <x/>
    </i>
    <i r="1">
      <x v="6"/>
      <x/>
    </i>
    <i r="1">
      <x v="58"/>
      <x/>
    </i>
    <i>
      <x v="52"/>
      <x v="60"/>
      <x/>
    </i>
    <i r="2">
      <x v="1"/>
    </i>
    <i>
      <x v="54"/>
      <x v="60"/>
      <x v="5"/>
    </i>
    <i>
      <x v="55"/>
      <x v="60"/>
      <x v="2"/>
    </i>
    <i>
      <x v="56"/>
      <x/>
      <x v="5"/>
    </i>
    <i r="1">
      <x v="37"/>
      <x v="5"/>
    </i>
    <i r="1">
      <x v="49"/>
      <x v="5"/>
    </i>
    <i>
      <x v="58"/>
      <x/>
      <x v="5"/>
    </i>
    <i r="1">
      <x v="60"/>
      <x v="5"/>
    </i>
    <i>
      <x v="59"/>
      <x v="34"/>
      <x v="5"/>
    </i>
    <i>
      <x v="60"/>
      <x v="7"/>
      <x v="1"/>
    </i>
    <i r="1">
      <x v="10"/>
      <x v="1"/>
    </i>
    <i r="1">
      <x v="11"/>
      <x v="1"/>
    </i>
    <i r="1">
      <x v="13"/>
      <x v="1"/>
    </i>
    <i r="1">
      <x v="28"/>
      <x v="1"/>
    </i>
    <i r="1">
      <x v="47"/>
      <x v="1"/>
    </i>
    <i>
      <x v="63"/>
      <x v="60"/>
      <x v="1"/>
    </i>
    <i>
      <x v="64"/>
      <x v="38"/>
      <x v="1"/>
    </i>
    <i r="1">
      <x v="48"/>
      <x v="1"/>
    </i>
    <i>
      <x v="65"/>
      <x v="1"/>
      <x v="5"/>
    </i>
    <i r="1">
      <x v="59"/>
      <x v="5"/>
    </i>
    <i>
      <x v="66"/>
      <x v="60"/>
      <x/>
    </i>
    <i>
      <x v="67"/>
      <x v="60"/>
      <x/>
    </i>
    <i>
      <x v="68"/>
      <x v="4"/>
      <x v="5"/>
    </i>
    <i r="1">
      <x v="18"/>
      <x v="5"/>
    </i>
    <i r="1">
      <x v="56"/>
      <x v="5"/>
    </i>
    <i>
      <x v="69"/>
      <x v="60"/>
      <x/>
    </i>
    <i r="2">
      <x v="1"/>
    </i>
    <i>
      <x v="70"/>
      <x v="60"/>
      <x/>
    </i>
    <i>
      <x v="72"/>
      <x v="40"/>
      <x/>
    </i>
    <i r="1">
      <x v="46"/>
      <x/>
    </i>
    <i>
      <x v="74"/>
      <x v="22"/>
      <x/>
    </i>
    <i r="1">
      <x v="23"/>
      <x/>
    </i>
    <i r="1">
      <x v="26"/>
      <x/>
    </i>
    <i r="1">
      <x v="30"/>
      <x/>
    </i>
    <i>
      <x v="75"/>
      <x v="60"/>
      <x/>
    </i>
    <i r="2">
      <x v="1"/>
    </i>
    <i>
      <x v="76"/>
      <x v="60"/>
      <x v="1"/>
    </i>
    <i>
      <x v="77"/>
      <x v="43"/>
      <x v="5"/>
    </i>
    <i r="1">
      <x v="45"/>
      <x v="5"/>
    </i>
    <i>
      <x v="78"/>
      <x v="60"/>
      <x/>
    </i>
    <i r="2">
      <x v="1"/>
    </i>
    <i>
      <x v="79"/>
      <x v="60"/>
      <x v="5"/>
    </i>
    <i>
      <x v="80"/>
      <x v="60"/>
      <x/>
    </i>
    <i r="2">
      <x v="1"/>
    </i>
    <i>
      <x v="81"/>
      <x v="62"/>
      <x v="6"/>
    </i>
    <i t="grand">
      <x/>
    </i>
  </rowItems>
  <colItems count="1">
    <i/>
  </colItems>
  <dataFields count="1">
    <dataField name="Sum of EPA apportionment factor (multiply facility emissions by this number)" fld="32" baseField="0" baseItem="0"/>
  </dataFields>
  <pivotTableStyleInfo name="PivotStyleLight16" showRowHeaders="1" showColHeaders="1" showRowStripes="0" showColStripes="0" showLastColumn="1"/>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126"/>
  <sheetViews>
    <sheetView topLeftCell="C12" workbookViewId="0">
      <selection activeCell="M31" sqref="M31"/>
    </sheetView>
  </sheetViews>
  <sheetFormatPr defaultRowHeight="16.5"/>
  <cols>
    <col min="1" max="1" width="17.42578125" bestFit="1" customWidth="1"/>
    <col min="2" max="2" width="69.5703125" customWidth="1"/>
    <col min="3" max="3" width="22.28515625" bestFit="1" customWidth="1"/>
    <col min="4" max="4" width="12" bestFit="1" customWidth="1"/>
  </cols>
  <sheetData>
    <row r="1" spans="1:9" ht="33">
      <c r="I1" s="72" t="s">
        <v>853</v>
      </c>
    </row>
    <row r="2" spans="1:9">
      <c r="I2" s="252" t="s">
        <v>183</v>
      </c>
    </row>
    <row r="3" spans="1:9">
      <c r="A3" s="348" t="s">
        <v>1054</v>
      </c>
      <c r="I3" s="252" t="s">
        <v>424</v>
      </c>
    </row>
    <row r="4" spans="1:9">
      <c r="A4" s="348" t="s">
        <v>853</v>
      </c>
      <c r="B4" s="348" t="s">
        <v>845</v>
      </c>
      <c r="C4" s="348" t="s">
        <v>844</v>
      </c>
      <c r="D4" t="s">
        <v>1055</v>
      </c>
      <c r="I4" s="252" t="s">
        <v>453</v>
      </c>
    </row>
    <row r="5" spans="1:9">
      <c r="A5" s="242">
        <v>715211</v>
      </c>
      <c r="B5" s="242">
        <v>1</v>
      </c>
      <c r="C5" s="242" t="s">
        <v>966</v>
      </c>
      <c r="D5" s="349">
        <v>1</v>
      </c>
      <c r="I5" s="252" t="s">
        <v>22</v>
      </c>
    </row>
    <row r="6" spans="1:9">
      <c r="C6" s="242" t="s">
        <v>811</v>
      </c>
      <c r="D6" s="349">
        <v>1</v>
      </c>
      <c r="I6" s="252" t="s">
        <v>46</v>
      </c>
    </row>
    <row r="7" spans="1:9">
      <c r="A7" s="242">
        <v>7442611</v>
      </c>
      <c r="B7" s="242">
        <v>1</v>
      </c>
      <c r="C7" s="242" t="s">
        <v>811</v>
      </c>
      <c r="D7" s="349">
        <v>2</v>
      </c>
      <c r="I7" s="252" t="s">
        <v>57</v>
      </c>
    </row>
    <row r="8" spans="1:9">
      <c r="A8" s="242">
        <v>7892211</v>
      </c>
      <c r="B8" s="242">
        <v>0.14093959731543623</v>
      </c>
      <c r="C8" s="242" t="s">
        <v>811</v>
      </c>
      <c r="D8" s="349">
        <v>0.14093959731543623</v>
      </c>
      <c r="I8" s="252" t="s">
        <v>77</v>
      </c>
    </row>
    <row r="9" spans="1:9">
      <c r="B9" s="242">
        <v>0.85906040268456374</v>
      </c>
      <c r="C9" s="242" t="s">
        <v>811</v>
      </c>
      <c r="D9" s="349">
        <v>0.85906040268456374</v>
      </c>
      <c r="I9" s="294" t="s">
        <v>96</v>
      </c>
    </row>
    <row r="10" spans="1:9">
      <c r="A10" s="242" t="s">
        <v>22</v>
      </c>
      <c r="B10" s="242">
        <v>1</v>
      </c>
      <c r="C10" s="242" t="s">
        <v>811</v>
      </c>
      <c r="D10" s="349">
        <v>1</v>
      </c>
      <c r="I10" s="252" t="s">
        <v>137</v>
      </c>
    </row>
    <row r="11" spans="1:9">
      <c r="A11" s="242" t="s">
        <v>40</v>
      </c>
      <c r="B11" s="242">
        <v>1</v>
      </c>
      <c r="C11" s="242" t="s">
        <v>808</v>
      </c>
      <c r="D11" s="349">
        <v>1</v>
      </c>
      <c r="I11" s="74" t="s">
        <v>143</v>
      </c>
    </row>
    <row r="12" spans="1:9">
      <c r="A12" s="242" t="s">
        <v>46</v>
      </c>
      <c r="B12" s="242">
        <v>1</v>
      </c>
      <c r="C12" s="242" t="s">
        <v>811</v>
      </c>
      <c r="D12" s="349">
        <v>1</v>
      </c>
      <c r="I12" s="74" t="s">
        <v>150</v>
      </c>
    </row>
    <row r="13" spans="1:9">
      <c r="A13" s="242" t="s">
        <v>459</v>
      </c>
      <c r="B13" s="242">
        <v>1</v>
      </c>
      <c r="C13" s="242" t="s">
        <v>808</v>
      </c>
      <c r="D13" s="349">
        <v>1</v>
      </c>
      <c r="I13" s="74" t="s">
        <v>156</v>
      </c>
    </row>
    <row r="14" spans="1:9">
      <c r="A14" s="242" t="s">
        <v>465</v>
      </c>
      <c r="B14" s="242">
        <v>1</v>
      </c>
      <c r="C14" s="242" t="s">
        <v>811</v>
      </c>
      <c r="D14" s="349">
        <v>1</v>
      </c>
      <c r="I14" s="252" t="s">
        <v>168</v>
      </c>
    </row>
    <row r="15" spans="1:9">
      <c r="A15" s="242" t="s">
        <v>57</v>
      </c>
      <c r="B15" s="242">
        <v>1</v>
      </c>
      <c r="C15" s="242" t="s">
        <v>811</v>
      </c>
      <c r="D15" s="349">
        <v>1</v>
      </c>
      <c r="I15" s="252" t="s">
        <v>171</v>
      </c>
    </row>
    <row r="16" spans="1:9">
      <c r="A16" s="242" t="s">
        <v>64</v>
      </c>
      <c r="B16" s="242">
        <v>1</v>
      </c>
      <c r="C16" s="242" t="s">
        <v>966</v>
      </c>
      <c r="D16" s="349">
        <v>1</v>
      </c>
      <c r="I16" s="252" t="s">
        <v>190</v>
      </c>
    </row>
    <row r="17" spans="1:9">
      <c r="A17" s="242" t="s">
        <v>77</v>
      </c>
      <c r="B17" s="242">
        <v>0</v>
      </c>
      <c r="C17" s="242" t="s">
        <v>966</v>
      </c>
      <c r="D17" s="349">
        <v>0</v>
      </c>
      <c r="I17" s="252" t="s">
        <v>250</v>
      </c>
    </row>
    <row r="18" spans="1:9">
      <c r="C18" s="242" t="s">
        <v>811</v>
      </c>
      <c r="D18" s="349">
        <v>0</v>
      </c>
      <c r="I18" s="252" t="s">
        <v>257</v>
      </c>
    </row>
    <row r="19" spans="1:9">
      <c r="C19" s="242" t="s">
        <v>808</v>
      </c>
      <c r="D19" s="349">
        <v>0</v>
      </c>
      <c r="I19" s="252" t="s">
        <v>280</v>
      </c>
    </row>
    <row r="20" spans="1:9">
      <c r="B20" s="242">
        <v>5.7799999999999997E-2</v>
      </c>
      <c r="C20" s="242" t="s">
        <v>966</v>
      </c>
      <c r="D20" s="349">
        <v>5.7799999999999997E-2</v>
      </c>
      <c r="I20" s="252" t="s">
        <v>293</v>
      </c>
    </row>
    <row r="21" spans="1:9">
      <c r="C21" s="242" t="s">
        <v>811</v>
      </c>
      <c r="D21" s="349">
        <v>5.7799999999999997E-2</v>
      </c>
      <c r="I21" s="252">
        <v>7892211</v>
      </c>
    </row>
    <row r="22" spans="1:9">
      <c r="C22" s="242" t="s">
        <v>808</v>
      </c>
      <c r="D22" s="349">
        <v>5.7799999999999997E-2</v>
      </c>
      <c r="I22" s="252" t="s">
        <v>347</v>
      </c>
    </row>
    <row r="23" spans="1:9">
      <c r="B23" s="242">
        <v>0.14330000000000001</v>
      </c>
      <c r="C23" s="242" t="s">
        <v>966</v>
      </c>
      <c r="D23" s="349">
        <v>0.14330000000000001</v>
      </c>
      <c r="I23" s="252" t="s">
        <v>364</v>
      </c>
    </row>
    <row r="24" spans="1:9">
      <c r="C24" s="242" t="s">
        <v>811</v>
      </c>
      <c r="D24" s="349">
        <v>0.14330000000000001</v>
      </c>
      <c r="I24" s="252" t="s">
        <v>390</v>
      </c>
    </row>
    <row r="25" spans="1:9">
      <c r="C25" s="242" t="s">
        <v>808</v>
      </c>
      <c r="D25" s="349">
        <v>0.14330000000000001</v>
      </c>
      <c r="I25" s="252" t="s">
        <v>431</v>
      </c>
    </row>
    <row r="26" spans="1:9">
      <c r="B26" s="242">
        <v>0.30690000000000001</v>
      </c>
      <c r="C26" s="242" t="s">
        <v>966</v>
      </c>
      <c r="D26" s="349">
        <v>0.30690000000000001</v>
      </c>
      <c r="I26" s="252" t="s">
        <v>441</v>
      </c>
    </row>
    <row r="27" spans="1:9">
      <c r="C27" s="242" t="s">
        <v>811</v>
      </c>
      <c r="D27" s="349">
        <v>0.30690000000000001</v>
      </c>
      <c r="I27" s="252" t="s">
        <v>465</v>
      </c>
    </row>
    <row r="28" spans="1:9">
      <c r="C28" s="242" t="s">
        <v>808</v>
      </c>
      <c r="D28" s="349">
        <v>0.30690000000000001</v>
      </c>
      <c r="I28" s="308" t="s">
        <v>994</v>
      </c>
    </row>
    <row r="29" spans="1:9">
      <c r="B29" s="242">
        <v>0.49199999999999999</v>
      </c>
      <c r="C29" s="242" t="s">
        <v>966</v>
      </c>
      <c r="D29" s="349">
        <v>0.49199999999999999</v>
      </c>
      <c r="I29" s="77">
        <v>7442611</v>
      </c>
    </row>
    <row r="30" spans="1:9">
      <c r="C30" s="242" t="s">
        <v>811</v>
      </c>
      <c r="D30" s="349">
        <v>0.49199999999999999</v>
      </c>
      <c r="I30" s="77">
        <v>715211</v>
      </c>
    </row>
    <row r="31" spans="1:9">
      <c r="C31" s="242" t="s">
        <v>808</v>
      </c>
      <c r="D31" s="349">
        <v>0.49199999999999999</v>
      </c>
      <c r="I31" s="77"/>
    </row>
    <row r="32" spans="1:9">
      <c r="A32" s="242" t="s">
        <v>85</v>
      </c>
      <c r="B32" s="242">
        <v>0.32700000000000001</v>
      </c>
      <c r="C32" s="242" t="s">
        <v>966</v>
      </c>
      <c r="D32" s="349">
        <v>0.32700000000000001</v>
      </c>
    </row>
    <row r="33" spans="1:4">
      <c r="B33" s="242">
        <v>0.32769999999999999</v>
      </c>
      <c r="C33" s="242" t="s">
        <v>966</v>
      </c>
      <c r="D33" s="349">
        <v>0.32769999999999999</v>
      </c>
    </row>
    <row r="34" spans="1:4">
      <c r="B34" s="242">
        <v>0.3453</v>
      </c>
      <c r="C34" s="242" t="s">
        <v>966</v>
      </c>
      <c r="D34" s="349">
        <v>0.3453</v>
      </c>
    </row>
    <row r="35" spans="1:4">
      <c r="A35" s="242" t="s">
        <v>860</v>
      </c>
      <c r="B35" s="242">
        <v>1</v>
      </c>
      <c r="C35" s="242" t="s">
        <v>966</v>
      </c>
      <c r="D35" s="349">
        <v>1</v>
      </c>
    </row>
    <row r="36" spans="1:4">
      <c r="A36" s="242" t="s">
        <v>96</v>
      </c>
      <c r="B36" s="242">
        <v>0.17948717948717949</v>
      </c>
      <c r="C36" s="242" t="s">
        <v>811</v>
      </c>
      <c r="D36" s="349">
        <v>0.17948717948717949</v>
      </c>
    </row>
    <row r="37" spans="1:4">
      <c r="B37" s="242">
        <v>0.82051282051282048</v>
      </c>
      <c r="C37" s="242" t="s">
        <v>811</v>
      </c>
      <c r="D37" s="349">
        <v>0.82051282051282048</v>
      </c>
    </row>
    <row r="38" spans="1:4">
      <c r="A38" s="242" t="s">
        <v>102</v>
      </c>
      <c r="B38" s="242">
        <v>1</v>
      </c>
      <c r="C38" s="242" t="s">
        <v>808</v>
      </c>
      <c r="D38" s="349">
        <v>1</v>
      </c>
    </row>
    <row r="39" spans="1:4">
      <c r="A39" s="242" t="s">
        <v>108</v>
      </c>
      <c r="B39" s="242">
        <v>1</v>
      </c>
      <c r="C39" s="242" t="s">
        <v>966</v>
      </c>
      <c r="D39" s="349">
        <v>1</v>
      </c>
    </row>
    <row r="40" spans="1:4">
      <c r="A40" s="242" t="s">
        <v>125</v>
      </c>
      <c r="B40" s="242">
        <v>3.9699999999999999E-2</v>
      </c>
      <c r="C40" s="242" t="s">
        <v>966</v>
      </c>
      <c r="D40" s="349">
        <v>3.9699999999999999E-2</v>
      </c>
    </row>
    <row r="41" spans="1:4">
      <c r="B41" s="242">
        <v>0.24</v>
      </c>
      <c r="C41" s="242" t="s">
        <v>966</v>
      </c>
      <c r="D41" s="349">
        <v>0.48</v>
      </c>
    </row>
    <row r="42" spans="1:4">
      <c r="B42" s="242">
        <v>0.4803</v>
      </c>
      <c r="C42" s="242" t="s">
        <v>966</v>
      </c>
      <c r="D42" s="349">
        <v>0.4803</v>
      </c>
    </row>
    <row r="43" spans="1:4">
      <c r="A43" s="242" t="s">
        <v>131</v>
      </c>
      <c r="B43" s="242">
        <v>1</v>
      </c>
      <c r="C43" s="242" t="s">
        <v>938</v>
      </c>
      <c r="D43" s="349">
        <v>1</v>
      </c>
    </row>
    <row r="44" spans="1:4">
      <c r="A44" s="242" t="s">
        <v>137</v>
      </c>
      <c r="B44" s="242">
        <v>1.1169024571854057E-2</v>
      </c>
      <c r="C44" s="242" t="s">
        <v>811</v>
      </c>
      <c r="D44" s="349">
        <v>1.1169024571854057E-2</v>
      </c>
    </row>
    <row r="45" spans="1:4">
      <c r="B45" s="242">
        <v>0.21965748324646311</v>
      </c>
      <c r="C45" s="242" t="s">
        <v>811</v>
      </c>
      <c r="D45" s="349">
        <v>0.21965748324646311</v>
      </c>
    </row>
    <row r="46" spans="1:4">
      <c r="B46" s="242">
        <v>0.76917349218168274</v>
      </c>
      <c r="C46" s="242" t="s">
        <v>811</v>
      </c>
      <c r="D46" s="349">
        <v>0.76917349218168274</v>
      </c>
    </row>
    <row r="47" spans="1:4">
      <c r="A47" s="242" t="s">
        <v>143</v>
      </c>
      <c r="B47" s="242">
        <v>1</v>
      </c>
      <c r="C47" s="242" t="s">
        <v>811</v>
      </c>
      <c r="D47" s="349">
        <v>1</v>
      </c>
    </row>
    <row r="48" spans="1:4">
      <c r="A48" s="242" t="s">
        <v>150</v>
      </c>
      <c r="B48" s="242">
        <v>1</v>
      </c>
      <c r="C48" s="242" t="s">
        <v>811</v>
      </c>
      <c r="D48" s="349">
        <v>1</v>
      </c>
    </row>
    <row r="49" spans="1:4">
      <c r="A49" s="242" t="s">
        <v>156</v>
      </c>
      <c r="B49" s="242">
        <v>1</v>
      </c>
      <c r="C49" s="242" t="s">
        <v>811</v>
      </c>
      <c r="D49" s="349">
        <v>1</v>
      </c>
    </row>
    <row r="50" spans="1:4">
      <c r="A50" s="242" t="s">
        <v>162</v>
      </c>
      <c r="B50" s="242">
        <v>1</v>
      </c>
      <c r="C50" s="242" t="s">
        <v>966</v>
      </c>
      <c r="D50" s="349">
        <v>1</v>
      </c>
    </row>
    <row r="51" spans="1:4">
      <c r="A51" s="242" t="s">
        <v>168</v>
      </c>
      <c r="B51" s="242">
        <v>1</v>
      </c>
      <c r="C51" s="242" t="s">
        <v>966</v>
      </c>
      <c r="D51" s="349">
        <v>1</v>
      </c>
    </row>
    <row r="52" spans="1:4">
      <c r="C52" s="242" t="s">
        <v>811</v>
      </c>
      <c r="D52" s="349">
        <v>1</v>
      </c>
    </row>
    <row r="53" spans="1:4">
      <c r="A53" s="242" t="s">
        <v>171</v>
      </c>
      <c r="B53" s="242">
        <v>0.1008</v>
      </c>
      <c r="C53" s="242" t="s">
        <v>811</v>
      </c>
      <c r="D53" s="349">
        <v>0.1008</v>
      </c>
    </row>
    <row r="54" spans="1:4">
      <c r="B54" s="242">
        <v>0.8992</v>
      </c>
      <c r="C54" s="242" t="s">
        <v>811</v>
      </c>
      <c r="D54" s="349">
        <v>0.8992</v>
      </c>
    </row>
    <row r="55" spans="1:4">
      <c r="A55" s="242" t="s">
        <v>183</v>
      </c>
      <c r="B55" s="242">
        <v>1</v>
      </c>
      <c r="C55" s="242" t="s">
        <v>811</v>
      </c>
      <c r="D55" s="349">
        <v>1</v>
      </c>
    </row>
    <row r="56" spans="1:4">
      <c r="A56" s="242" t="s">
        <v>190</v>
      </c>
      <c r="B56" s="242">
        <v>0.3</v>
      </c>
      <c r="C56" s="242" t="s">
        <v>811</v>
      </c>
      <c r="D56" s="349">
        <v>0.3</v>
      </c>
    </row>
    <row r="57" spans="1:4">
      <c r="B57" s="242">
        <v>0.7</v>
      </c>
      <c r="C57" s="242" t="s">
        <v>811</v>
      </c>
      <c r="D57" s="349">
        <v>0.7</v>
      </c>
    </row>
    <row r="58" spans="1:4">
      <c r="A58" s="242" t="s">
        <v>196</v>
      </c>
      <c r="B58" s="242">
        <v>1</v>
      </c>
      <c r="C58" s="242" t="s">
        <v>966</v>
      </c>
      <c r="D58" s="349">
        <v>1</v>
      </c>
    </row>
    <row r="59" spans="1:4">
      <c r="A59" s="242" t="s">
        <v>208</v>
      </c>
      <c r="B59" s="242">
        <v>1.04E-2</v>
      </c>
      <c r="C59" s="242" t="s">
        <v>966</v>
      </c>
      <c r="D59" s="349">
        <v>1.04E-2</v>
      </c>
    </row>
    <row r="60" spans="1:4">
      <c r="B60" s="242">
        <v>0.34639999999999999</v>
      </c>
      <c r="C60" s="242" t="s">
        <v>966</v>
      </c>
      <c r="D60" s="349">
        <v>0.34639999999999999</v>
      </c>
    </row>
    <row r="61" spans="1:4">
      <c r="B61" s="242">
        <v>0.64319999999999999</v>
      </c>
      <c r="C61" s="242" t="s">
        <v>966</v>
      </c>
      <c r="D61" s="349">
        <v>0.64319999999999999</v>
      </c>
    </row>
    <row r="62" spans="1:4">
      <c r="A62" s="242" t="s">
        <v>214</v>
      </c>
      <c r="B62" s="242">
        <v>7.2800000000000004E-2</v>
      </c>
      <c r="C62" s="242" t="s">
        <v>966</v>
      </c>
      <c r="D62" s="349">
        <v>0.14560000000000001</v>
      </c>
    </row>
    <row r="63" spans="1:4">
      <c r="B63" s="242">
        <v>0.42720000000000002</v>
      </c>
      <c r="C63" s="242" t="s">
        <v>966</v>
      </c>
      <c r="D63" s="349">
        <v>0.85440000000000005</v>
      </c>
    </row>
    <row r="64" spans="1:4">
      <c r="A64" s="242" t="s">
        <v>220</v>
      </c>
      <c r="B64" s="242">
        <v>1</v>
      </c>
      <c r="C64" s="242" t="s">
        <v>966</v>
      </c>
      <c r="D64" s="349">
        <v>1</v>
      </c>
    </row>
    <row r="65" spans="1:4">
      <c r="A65" s="242" t="s">
        <v>225</v>
      </c>
      <c r="B65" s="242">
        <v>5.2699999999999997E-2</v>
      </c>
      <c r="C65" s="242" t="s">
        <v>966</v>
      </c>
      <c r="D65" s="349">
        <v>5.2699999999999997E-2</v>
      </c>
    </row>
    <row r="66" spans="1:4">
      <c r="B66" s="242">
        <v>0.3271</v>
      </c>
      <c r="C66" s="242" t="s">
        <v>966</v>
      </c>
      <c r="D66" s="349">
        <v>0.3271</v>
      </c>
    </row>
    <row r="67" spans="1:4">
      <c r="B67" s="242">
        <v>0.62019999999999997</v>
      </c>
      <c r="C67" s="242" t="s">
        <v>966</v>
      </c>
      <c r="D67" s="349">
        <v>0.62019999999999997</v>
      </c>
    </row>
    <row r="68" spans="1:4">
      <c r="A68" s="242" t="s">
        <v>231</v>
      </c>
      <c r="B68" s="242">
        <v>1</v>
      </c>
      <c r="C68" s="242" t="s">
        <v>808</v>
      </c>
      <c r="D68" s="349">
        <v>1</v>
      </c>
    </row>
    <row r="69" spans="1:4">
      <c r="A69" s="242" t="s">
        <v>238</v>
      </c>
      <c r="B69" s="242">
        <v>0</v>
      </c>
      <c r="C69" s="242" t="s">
        <v>966</v>
      </c>
      <c r="D69" s="349">
        <v>0</v>
      </c>
    </row>
    <row r="70" spans="1:4">
      <c r="B70" s="242">
        <v>0.5</v>
      </c>
      <c r="C70" s="242" t="s">
        <v>966</v>
      </c>
      <c r="D70" s="349">
        <v>1</v>
      </c>
    </row>
    <row r="71" spans="1:4">
      <c r="A71" s="242" t="s">
        <v>250</v>
      </c>
      <c r="B71" s="242">
        <v>1</v>
      </c>
      <c r="C71" s="242" t="s">
        <v>811</v>
      </c>
      <c r="D71" s="349">
        <v>1</v>
      </c>
    </row>
    <row r="72" spans="1:4">
      <c r="A72" s="242" t="s">
        <v>257</v>
      </c>
      <c r="B72" s="242">
        <v>1</v>
      </c>
      <c r="C72" s="242" t="s">
        <v>811</v>
      </c>
      <c r="D72" s="349">
        <v>1</v>
      </c>
    </row>
    <row r="73" spans="1:4">
      <c r="A73" s="242" t="s">
        <v>280</v>
      </c>
      <c r="B73" s="242">
        <v>1</v>
      </c>
      <c r="C73" s="242" t="s">
        <v>966</v>
      </c>
      <c r="D73" s="349">
        <v>1</v>
      </c>
    </row>
    <row r="74" spans="1:4">
      <c r="C74" s="242" t="s">
        <v>811</v>
      </c>
      <c r="D74" s="349">
        <v>1</v>
      </c>
    </row>
    <row r="75" spans="1:4">
      <c r="A75" s="242" t="s">
        <v>286</v>
      </c>
      <c r="B75" s="242">
        <v>4.571631886408394E-4</v>
      </c>
      <c r="C75" s="242" t="s">
        <v>966</v>
      </c>
      <c r="D75" s="349">
        <v>4.571631886408394E-4</v>
      </c>
    </row>
    <row r="76" spans="1:4">
      <c r="B76" s="242">
        <v>1.8410644248431991E-3</v>
      </c>
      <c r="C76" s="242" t="s">
        <v>966</v>
      </c>
      <c r="D76" s="349">
        <v>1.8410644248431991E-3</v>
      </c>
    </row>
    <row r="77" spans="1:4">
      <c r="B77" s="242">
        <v>3.2063481556257965E-3</v>
      </c>
      <c r="C77" s="242" t="s">
        <v>966</v>
      </c>
      <c r="D77" s="349">
        <v>3.2063481556257965E-3</v>
      </c>
    </row>
    <row r="78" spans="1:4">
      <c r="B78" s="242">
        <v>3.3408079169907493E-3</v>
      </c>
      <c r="C78" s="242" t="s">
        <v>966</v>
      </c>
      <c r="D78" s="349">
        <v>3.3408079169907493E-3</v>
      </c>
    </row>
    <row r="79" spans="1:4">
      <c r="B79" s="242">
        <v>0.99115461631389945</v>
      </c>
      <c r="C79" s="242" t="s">
        <v>966</v>
      </c>
      <c r="D79" s="349">
        <v>0.99115461631389945</v>
      </c>
    </row>
    <row r="80" spans="1:4">
      <c r="A80" s="242" t="s">
        <v>293</v>
      </c>
      <c r="B80" s="242">
        <v>1</v>
      </c>
      <c r="C80" s="242" t="s">
        <v>966</v>
      </c>
      <c r="D80" s="349">
        <v>1</v>
      </c>
    </row>
    <row r="81" spans="1:4">
      <c r="C81" s="242" t="s">
        <v>811</v>
      </c>
      <c r="D81" s="349">
        <v>1</v>
      </c>
    </row>
    <row r="82" spans="1:4">
      <c r="A82" s="242" t="s">
        <v>305</v>
      </c>
      <c r="B82" s="242">
        <v>1</v>
      </c>
      <c r="C82" s="242" t="s">
        <v>808</v>
      </c>
      <c r="D82" s="349">
        <v>1</v>
      </c>
    </row>
    <row r="83" spans="1:4">
      <c r="A83" s="242" t="s">
        <v>311</v>
      </c>
      <c r="B83" s="242">
        <v>1</v>
      </c>
      <c r="C83" s="242" t="s">
        <v>938</v>
      </c>
      <c r="D83" s="349">
        <v>1</v>
      </c>
    </row>
    <row r="84" spans="1:4">
      <c r="A84" s="242" t="s">
        <v>318</v>
      </c>
      <c r="B84" s="242">
        <v>0</v>
      </c>
      <c r="C84" s="242" t="s">
        <v>808</v>
      </c>
      <c r="D84" s="349">
        <v>0</v>
      </c>
    </row>
    <row r="85" spans="1:4">
      <c r="B85" s="242">
        <v>0.40400000000000003</v>
      </c>
      <c r="C85" s="242" t="s">
        <v>808</v>
      </c>
      <c r="D85" s="349">
        <v>0.40400000000000003</v>
      </c>
    </row>
    <row r="86" spans="1:4">
      <c r="B86" s="242">
        <v>0.59599999999999997</v>
      </c>
      <c r="C86" s="242" t="s">
        <v>808</v>
      </c>
      <c r="D86" s="349">
        <v>0.59599999999999997</v>
      </c>
    </row>
    <row r="87" spans="1:4">
      <c r="A87" s="242" t="s">
        <v>855</v>
      </c>
      <c r="B87" s="242">
        <v>0</v>
      </c>
      <c r="C87" s="242" t="s">
        <v>808</v>
      </c>
      <c r="D87" s="349">
        <v>0</v>
      </c>
    </row>
    <row r="88" spans="1:4">
      <c r="B88" s="242">
        <v>1</v>
      </c>
      <c r="C88" s="242" t="s">
        <v>808</v>
      </c>
      <c r="D88" s="349">
        <v>1</v>
      </c>
    </row>
    <row r="89" spans="1:4">
      <c r="A89" s="242" t="s">
        <v>340</v>
      </c>
      <c r="B89" s="242">
        <v>0.33329999999999999</v>
      </c>
      <c r="C89" s="242" t="s">
        <v>808</v>
      </c>
      <c r="D89" s="349">
        <v>0.99990000000000001</v>
      </c>
    </row>
    <row r="90" spans="1:4">
      <c r="A90" s="242" t="s">
        <v>347</v>
      </c>
      <c r="B90" s="242">
        <v>1.0121457489878543E-2</v>
      </c>
      <c r="C90" s="242" t="s">
        <v>811</v>
      </c>
      <c r="D90" s="349">
        <v>2.0242914979757085E-2</v>
      </c>
    </row>
    <row r="91" spans="1:4">
      <c r="B91" s="242">
        <v>1.8218623481781378E-2</v>
      </c>
      <c r="C91" s="242" t="s">
        <v>811</v>
      </c>
      <c r="D91" s="349">
        <v>3.6437246963562757E-2</v>
      </c>
    </row>
    <row r="92" spans="1:4">
      <c r="B92" s="242">
        <v>3.036437246963563E-2</v>
      </c>
      <c r="C92" s="242" t="s">
        <v>811</v>
      </c>
      <c r="D92" s="349">
        <v>3.036437246963563E-2</v>
      </c>
    </row>
    <row r="93" spans="1:4">
      <c r="B93" s="242">
        <v>4.2510121457489884E-2</v>
      </c>
      <c r="C93" s="242" t="s">
        <v>811</v>
      </c>
      <c r="D93" s="349">
        <v>4.2510121457489884E-2</v>
      </c>
    </row>
    <row r="94" spans="1:4">
      <c r="B94" s="242">
        <v>0.30364372469635631</v>
      </c>
      <c r="C94" s="242" t="s">
        <v>811</v>
      </c>
      <c r="D94" s="349">
        <v>0.30364372469635631</v>
      </c>
    </row>
    <row r="95" spans="1:4">
      <c r="B95" s="242">
        <v>0.5668016194331984</v>
      </c>
      <c r="C95" s="242" t="s">
        <v>811</v>
      </c>
      <c r="D95" s="349">
        <v>0.5668016194331984</v>
      </c>
    </row>
    <row r="96" spans="1:4">
      <c r="A96" s="242" t="s">
        <v>994</v>
      </c>
      <c r="B96" s="242">
        <v>1</v>
      </c>
      <c r="C96" s="242" t="s">
        <v>811</v>
      </c>
      <c r="D96" s="349">
        <v>1</v>
      </c>
    </row>
    <row r="97" spans="1:4">
      <c r="A97" s="242" t="s">
        <v>364</v>
      </c>
      <c r="B97" s="242">
        <v>0.42010309278350522</v>
      </c>
      <c r="C97" s="242" t="s">
        <v>811</v>
      </c>
      <c r="D97" s="349">
        <v>0.42010309278350522</v>
      </c>
    </row>
    <row r="98" spans="1:4">
      <c r="B98" s="242">
        <v>0.57989690721649489</v>
      </c>
      <c r="C98" s="242" t="s">
        <v>811</v>
      </c>
      <c r="D98" s="349">
        <v>0.57989690721649489</v>
      </c>
    </row>
    <row r="99" spans="1:4">
      <c r="A99" s="242" t="s">
        <v>504</v>
      </c>
      <c r="B99" s="242">
        <v>3.3886818027787188E-4</v>
      </c>
      <c r="C99" s="242" t="s">
        <v>808</v>
      </c>
      <c r="D99" s="349">
        <v>3.3886818027787188E-4</v>
      </c>
    </row>
    <row r="100" spans="1:4">
      <c r="B100" s="242">
        <v>0.99966113181972205</v>
      </c>
      <c r="C100" s="242" t="s">
        <v>808</v>
      </c>
      <c r="D100" s="349">
        <v>0.99966113181972205</v>
      </c>
    </row>
    <row r="101" spans="1:4">
      <c r="A101" s="242" t="s">
        <v>375</v>
      </c>
      <c r="B101" s="242">
        <v>1</v>
      </c>
      <c r="C101" s="242" t="s">
        <v>966</v>
      </c>
      <c r="D101" s="349">
        <v>1</v>
      </c>
    </row>
    <row r="102" spans="1:4">
      <c r="A102" s="242" t="s">
        <v>378</v>
      </c>
      <c r="B102" s="242">
        <v>1</v>
      </c>
      <c r="C102" s="242" t="s">
        <v>966</v>
      </c>
      <c r="D102" s="349">
        <v>1</v>
      </c>
    </row>
    <row r="103" spans="1:4">
      <c r="A103" s="242" t="s">
        <v>384</v>
      </c>
      <c r="B103" s="242">
        <v>2.3999999999999998E-3</v>
      </c>
      <c r="C103" s="242" t="s">
        <v>808</v>
      </c>
      <c r="D103" s="349">
        <v>2.3999999999999998E-3</v>
      </c>
    </row>
    <row r="104" spans="1:4">
      <c r="B104" s="242">
        <v>0.1336</v>
      </c>
      <c r="C104" s="242" t="s">
        <v>808</v>
      </c>
      <c r="D104" s="349">
        <v>0.1336</v>
      </c>
    </row>
    <row r="105" spans="1:4">
      <c r="B105" s="242">
        <v>0.86399999999999999</v>
      </c>
      <c r="C105" s="242" t="s">
        <v>808</v>
      </c>
      <c r="D105" s="349">
        <v>0.86399999999999999</v>
      </c>
    </row>
    <row r="106" spans="1:4">
      <c r="A106" s="242" t="s">
        <v>390</v>
      </c>
      <c r="B106" s="242">
        <v>1</v>
      </c>
      <c r="C106" s="242" t="s">
        <v>966</v>
      </c>
      <c r="D106" s="349">
        <v>1</v>
      </c>
    </row>
    <row r="107" spans="1:4">
      <c r="C107" s="242" t="s">
        <v>811</v>
      </c>
      <c r="D107" s="349">
        <v>1</v>
      </c>
    </row>
    <row r="108" spans="1:4">
      <c r="A108" s="242" t="s">
        <v>396</v>
      </c>
      <c r="B108" s="242">
        <v>1</v>
      </c>
      <c r="C108" s="242" t="s">
        <v>966</v>
      </c>
      <c r="D108" s="349">
        <v>1</v>
      </c>
    </row>
    <row r="109" spans="1:4">
      <c r="A109" s="242" t="s">
        <v>407</v>
      </c>
      <c r="B109" s="242">
        <v>0.46550000000000002</v>
      </c>
      <c r="C109" s="242" t="s">
        <v>966</v>
      </c>
      <c r="D109" s="349">
        <v>0.46550000000000002</v>
      </c>
    </row>
    <row r="110" spans="1:4">
      <c r="B110" s="242">
        <v>0.53449999999999998</v>
      </c>
      <c r="C110" s="242" t="s">
        <v>966</v>
      </c>
      <c r="D110" s="349">
        <v>0.53449999999999998</v>
      </c>
    </row>
    <row r="111" spans="1:4">
      <c r="A111" s="242" t="s">
        <v>418</v>
      </c>
      <c r="B111" s="242">
        <v>0.1923</v>
      </c>
      <c r="C111" s="242" t="s">
        <v>966</v>
      </c>
      <c r="D111" s="349">
        <v>0.1923</v>
      </c>
    </row>
    <row r="112" spans="1:4">
      <c r="B112" s="242">
        <v>0.19350000000000001</v>
      </c>
      <c r="C112" s="242" t="s">
        <v>966</v>
      </c>
      <c r="D112" s="349">
        <v>0.19350000000000001</v>
      </c>
    </row>
    <row r="113" spans="1:4">
      <c r="B113" s="242">
        <v>0.2888</v>
      </c>
      <c r="C113" s="242" t="s">
        <v>966</v>
      </c>
      <c r="D113" s="349">
        <v>0.2888</v>
      </c>
    </row>
    <row r="114" spans="1:4">
      <c r="B114" s="242">
        <v>0.32540000000000002</v>
      </c>
      <c r="C114" s="242" t="s">
        <v>966</v>
      </c>
      <c r="D114" s="349">
        <v>0.32540000000000002</v>
      </c>
    </row>
    <row r="115" spans="1:4">
      <c r="A115" s="242" t="s">
        <v>424</v>
      </c>
      <c r="B115" s="242">
        <v>1</v>
      </c>
      <c r="C115" s="242" t="s">
        <v>966</v>
      </c>
      <c r="D115" s="349">
        <v>2</v>
      </c>
    </row>
    <row r="116" spans="1:4">
      <c r="C116" s="242" t="s">
        <v>811</v>
      </c>
      <c r="D116" s="349">
        <v>1</v>
      </c>
    </row>
    <row r="117" spans="1:4">
      <c r="A117" s="242" t="s">
        <v>431</v>
      </c>
      <c r="B117" s="242">
        <v>1</v>
      </c>
      <c r="C117" s="242" t="s">
        <v>811</v>
      </c>
      <c r="D117" s="349">
        <v>1</v>
      </c>
    </row>
    <row r="118" spans="1:4">
      <c r="A118" s="242" t="s">
        <v>437</v>
      </c>
      <c r="B118" s="242">
        <v>0.49349999999999999</v>
      </c>
      <c r="C118" s="242" t="s">
        <v>808</v>
      </c>
      <c r="D118" s="349">
        <v>0.49349999999999999</v>
      </c>
    </row>
    <row r="119" spans="1:4">
      <c r="B119" s="242">
        <v>0.50649999999999995</v>
      </c>
      <c r="C119" s="242" t="s">
        <v>808</v>
      </c>
      <c r="D119" s="349">
        <v>0.50649999999999995</v>
      </c>
    </row>
    <row r="120" spans="1:4">
      <c r="A120" s="242" t="s">
        <v>441</v>
      </c>
      <c r="B120" s="242">
        <v>1</v>
      </c>
      <c r="C120" s="242" t="s">
        <v>966</v>
      </c>
      <c r="D120" s="349">
        <v>1</v>
      </c>
    </row>
    <row r="121" spans="1:4">
      <c r="C121" s="242" t="s">
        <v>811</v>
      </c>
      <c r="D121" s="349">
        <v>1</v>
      </c>
    </row>
    <row r="122" spans="1:4">
      <c r="A122" s="242" t="s">
        <v>447</v>
      </c>
      <c r="B122" s="242">
        <v>1</v>
      </c>
      <c r="C122" s="242" t="s">
        <v>808</v>
      </c>
      <c r="D122" s="349">
        <v>1</v>
      </c>
    </row>
    <row r="123" spans="1:4">
      <c r="A123" s="242" t="s">
        <v>453</v>
      </c>
      <c r="B123" s="242">
        <v>1</v>
      </c>
      <c r="C123" s="242" t="s">
        <v>966</v>
      </c>
      <c r="D123" s="349">
        <v>1</v>
      </c>
    </row>
    <row r="124" spans="1:4">
      <c r="C124" s="242" t="s">
        <v>811</v>
      </c>
      <c r="D124" s="349">
        <v>1</v>
      </c>
    </row>
    <row r="125" spans="1:4">
      <c r="A125" s="242" t="s">
        <v>1052</v>
      </c>
      <c r="B125" s="242" t="s">
        <v>1052</v>
      </c>
      <c r="C125" s="242" t="s">
        <v>1052</v>
      </c>
      <c r="D125" s="349"/>
    </row>
    <row r="126" spans="1:4">
      <c r="A126" s="242" t="s">
        <v>1053</v>
      </c>
      <c r="D126" s="349">
        <v>72.999900000000025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AP186"/>
  <sheetViews>
    <sheetView tabSelected="1" topLeftCell="J1" zoomScale="80" zoomScaleNormal="80" workbookViewId="0">
      <pane ySplit="1" topLeftCell="A2" activePane="bottomLeft" state="frozen"/>
      <selection pane="bottomLeft" activeCell="U1" sqref="U1"/>
    </sheetView>
  </sheetViews>
  <sheetFormatPr defaultRowHeight="24.95" customHeight="1"/>
  <cols>
    <col min="1" max="1" width="8.28515625" style="2" customWidth="1"/>
    <col min="2" max="2" width="5.85546875" style="2" customWidth="1"/>
    <col min="3" max="3" width="16.42578125" style="2" customWidth="1"/>
    <col min="4" max="4" width="9.85546875" style="2" customWidth="1"/>
    <col min="5" max="5" width="12.5703125" style="2" bestFit="1" customWidth="1"/>
    <col min="6" max="6" width="13.5703125" style="2" customWidth="1"/>
    <col min="7" max="7" width="19" style="2" customWidth="1"/>
    <col min="8" max="8" width="16.7109375" style="2" customWidth="1"/>
    <col min="9" max="9" width="14" style="16" customWidth="1"/>
    <col min="10" max="10" width="10.28515625" style="2" customWidth="1"/>
    <col min="11" max="11" width="19.7109375" style="36" customWidth="1"/>
    <col min="12" max="12" width="13.28515625" style="2" customWidth="1"/>
    <col min="13" max="13" width="11" style="2" customWidth="1"/>
    <col min="14" max="14" width="26.28515625" style="2" customWidth="1"/>
    <col min="15" max="15" width="3.5703125" style="2" customWidth="1"/>
    <col min="16" max="16" width="8.85546875" style="2" customWidth="1"/>
    <col min="17" max="17" width="3.42578125" style="2" customWidth="1"/>
    <col min="18" max="18" width="7.5703125" style="2" customWidth="1"/>
    <col min="19" max="19" width="15.42578125" style="2" customWidth="1"/>
    <col min="20" max="20" width="9.5703125" style="2" customWidth="1"/>
    <col min="21" max="21" width="10.42578125" style="2" customWidth="1"/>
    <col min="22" max="22" width="21.5703125" style="2" customWidth="1"/>
    <col min="23" max="23" width="9.7109375" style="2" customWidth="1"/>
    <col min="24" max="24" width="9" style="2" customWidth="1"/>
    <col min="25" max="25" width="16" style="2" customWidth="1"/>
    <col min="26" max="26" width="13.5703125" style="2" customWidth="1"/>
    <col min="27" max="27" width="7.140625" style="2" customWidth="1"/>
    <col min="28" max="28" width="9.42578125" style="9" customWidth="1"/>
    <col min="29" max="29" width="9.7109375" style="77" customWidth="1"/>
    <col min="30" max="30" width="9.140625" style="77" customWidth="1"/>
    <col min="31" max="31" width="8.140625" style="9" customWidth="1"/>
    <col min="32" max="32" width="14.7109375" style="9" customWidth="1"/>
    <col min="33" max="33" width="14.140625" style="77" customWidth="1"/>
    <col min="34" max="34" width="26.5703125" style="75" customWidth="1"/>
    <col min="35" max="35" width="16.28515625" style="75" customWidth="1"/>
    <col min="36" max="36" width="12.7109375" style="75" customWidth="1"/>
    <col min="37" max="37" width="7" style="2" customWidth="1"/>
    <col min="38" max="38" width="25.42578125" style="2" customWidth="1"/>
    <col min="39" max="39" width="10.140625" style="2" customWidth="1"/>
    <col min="40" max="40" width="19.140625" style="2" customWidth="1"/>
    <col min="41" max="16384" width="9.140625" style="2"/>
  </cols>
  <sheetData>
    <row r="1" spans="1:42" s="16" customFormat="1" ht="24.95" customHeight="1">
      <c r="A1" s="22" t="s">
        <v>676</v>
      </c>
      <c r="B1" s="20" t="s">
        <v>677</v>
      </c>
      <c r="C1" s="22" t="s">
        <v>675</v>
      </c>
      <c r="D1" s="33" t="s">
        <v>678</v>
      </c>
      <c r="E1" s="20" t="s">
        <v>1001</v>
      </c>
      <c r="F1" s="33" t="s">
        <v>679</v>
      </c>
      <c r="G1" s="20" t="s">
        <v>0</v>
      </c>
      <c r="H1" s="1" t="s">
        <v>3</v>
      </c>
      <c r="I1" s="20" t="s">
        <v>680</v>
      </c>
      <c r="J1" s="20" t="s">
        <v>682</v>
      </c>
      <c r="K1" s="65" t="s">
        <v>781</v>
      </c>
      <c r="L1" s="20" t="s">
        <v>686</v>
      </c>
      <c r="M1" s="20" t="s">
        <v>693</v>
      </c>
      <c r="N1" s="20" t="s">
        <v>611</v>
      </c>
      <c r="O1" s="20" t="s">
        <v>612</v>
      </c>
      <c r="P1" s="20" t="s">
        <v>4</v>
      </c>
      <c r="Q1" s="20" t="s">
        <v>5</v>
      </c>
      <c r="R1" s="20" t="s">
        <v>1</v>
      </c>
      <c r="S1" s="20" t="s">
        <v>2</v>
      </c>
      <c r="T1" s="21" t="s">
        <v>694</v>
      </c>
      <c r="U1" s="32" t="s">
        <v>695</v>
      </c>
      <c r="V1" s="21" t="s">
        <v>748</v>
      </c>
      <c r="W1" s="34" t="s">
        <v>727</v>
      </c>
      <c r="X1" s="44" t="s">
        <v>712</v>
      </c>
      <c r="Y1" s="44" t="s">
        <v>713</v>
      </c>
      <c r="Z1" s="44" t="s">
        <v>749</v>
      </c>
      <c r="AA1" s="44" t="s">
        <v>745</v>
      </c>
      <c r="AB1" s="44" t="s">
        <v>746</v>
      </c>
      <c r="AC1" s="72" t="s">
        <v>853</v>
      </c>
      <c r="AD1" s="72" t="s">
        <v>908</v>
      </c>
      <c r="AE1" s="72" t="s">
        <v>847</v>
      </c>
      <c r="AF1" s="72" t="s">
        <v>844</v>
      </c>
      <c r="AG1" s="72" t="s">
        <v>845</v>
      </c>
      <c r="AH1" s="73" t="s">
        <v>787</v>
      </c>
      <c r="AI1" s="313" t="s">
        <v>998</v>
      </c>
      <c r="AJ1" s="113" t="s">
        <v>786</v>
      </c>
      <c r="AK1" s="69" t="s">
        <v>789</v>
      </c>
      <c r="AL1" s="112" t="s">
        <v>843</v>
      </c>
      <c r="AM1" s="313" t="s">
        <v>1021</v>
      </c>
      <c r="AN1" s="112" t="s">
        <v>846</v>
      </c>
      <c r="AO1" s="83" t="s">
        <v>796</v>
      </c>
      <c r="AP1" s="103" t="s">
        <v>825</v>
      </c>
    </row>
    <row r="2" spans="1:42" s="18" customFormat="1" ht="24.95" customHeight="1">
      <c r="A2" s="3" t="s">
        <v>189</v>
      </c>
      <c r="B2" s="3" t="s">
        <v>188</v>
      </c>
      <c r="C2" s="3" t="s">
        <v>481</v>
      </c>
      <c r="D2" s="5" t="s">
        <v>550</v>
      </c>
      <c r="E2" s="3" t="s">
        <v>183</v>
      </c>
      <c r="F2" s="5" t="s">
        <v>549</v>
      </c>
      <c r="G2" s="3" t="s">
        <v>184</v>
      </c>
      <c r="H2" s="3" t="s">
        <v>15</v>
      </c>
      <c r="I2" s="11" t="s">
        <v>681</v>
      </c>
      <c r="J2" s="5">
        <v>0.62999999999999989</v>
      </c>
      <c r="K2" s="35" t="s">
        <v>14</v>
      </c>
      <c r="L2" s="3"/>
      <c r="M2" s="5">
        <v>0.33</v>
      </c>
      <c r="N2" s="3" t="s">
        <v>185</v>
      </c>
      <c r="O2" s="3" t="s">
        <v>613</v>
      </c>
      <c r="P2" s="3" t="s">
        <v>16</v>
      </c>
      <c r="Q2" s="5">
        <v>2008</v>
      </c>
      <c r="R2" s="3" t="s">
        <v>186</v>
      </c>
      <c r="S2" s="3" t="s">
        <v>187</v>
      </c>
      <c r="T2" s="5">
        <v>186.20443993597854</v>
      </c>
      <c r="U2" s="5" t="s">
        <v>480</v>
      </c>
      <c r="V2" s="39" t="s">
        <v>714</v>
      </c>
      <c r="W2" s="25" t="s">
        <v>684</v>
      </c>
      <c r="X2" s="179" t="s">
        <v>806</v>
      </c>
      <c r="Y2" s="181" t="s">
        <v>892</v>
      </c>
      <c r="Z2" s="182">
        <v>186.20443993597854</v>
      </c>
      <c r="AA2" s="42" t="s">
        <v>893</v>
      </c>
      <c r="AB2" s="43">
        <v>1</v>
      </c>
      <c r="AC2" s="119" t="str">
        <f t="shared" ref="AC2:AC40" si="0">E2</f>
        <v>553311</v>
      </c>
      <c r="AD2" s="160" t="s">
        <v>910</v>
      </c>
      <c r="AE2" s="26"/>
      <c r="AF2" s="160" t="s">
        <v>811</v>
      </c>
      <c r="AG2" s="26">
        <v>1</v>
      </c>
      <c r="AH2" s="180" t="s">
        <v>891</v>
      </c>
      <c r="AI2" s="180">
        <v>7439976</v>
      </c>
      <c r="AK2" s="78">
        <v>40834</v>
      </c>
      <c r="AL2" s="192" t="s">
        <v>894</v>
      </c>
      <c r="AM2" s="192">
        <f>LEN(AL2)</f>
        <v>166</v>
      </c>
      <c r="AN2" s="18">
        <v>10</v>
      </c>
    </row>
    <row r="3" spans="1:42" s="18" customFormat="1" ht="24.95" customHeight="1">
      <c r="A3" s="3" t="s">
        <v>430</v>
      </c>
      <c r="B3" s="3" t="s">
        <v>429</v>
      </c>
      <c r="C3" s="3" t="s">
        <v>485</v>
      </c>
      <c r="D3" s="5" t="s">
        <v>601</v>
      </c>
      <c r="E3" s="3" t="s">
        <v>424</v>
      </c>
      <c r="F3" s="5" t="s">
        <v>600</v>
      </c>
      <c r="G3" s="3" t="s">
        <v>425</v>
      </c>
      <c r="H3" s="3" t="s">
        <v>15</v>
      </c>
      <c r="I3" s="11" t="s">
        <v>681</v>
      </c>
      <c r="J3" s="5">
        <v>12.501999999999999</v>
      </c>
      <c r="K3" s="35" t="s">
        <v>14</v>
      </c>
      <c r="M3" s="5">
        <v>5.4399999999999995</v>
      </c>
      <c r="N3" s="3" t="s">
        <v>426</v>
      </c>
      <c r="O3" s="3" t="s">
        <v>613</v>
      </c>
      <c r="P3" s="3" t="s">
        <v>16</v>
      </c>
      <c r="Q3" s="5">
        <v>2008</v>
      </c>
      <c r="R3" s="3" t="s">
        <v>427</v>
      </c>
      <c r="S3" s="3" t="s">
        <v>428</v>
      </c>
      <c r="T3" s="5">
        <v>105.15584527625815</v>
      </c>
      <c r="U3" s="5" t="s">
        <v>484</v>
      </c>
      <c r="V3" s="63" t="s">
        <v>767</v>
      </c>
      <c r="W3" s="25" t="s">
        <v>684</v>
      </c>
      <c r="X3" s="344" t="s">
        <v>782</v>
      </c>
      <c r="Y3" s="345" t="s">
        <v>903</v>
      </c>
      <c r="Z3" s="346">
        <v>121.1</v>
      </c>
      <c r="AA3" s="346" t="s">
        <v>904</v>
      </c>
      <c r="AB3" s="347" t="s">
        <v>905</v>
      </c>
      <c r="AC3" s="119" t="str">
        <f t="shared" si="0"/>
        <v>827611</v>
      </c>
      <c r="AD3" s="160" t="s">
        <v>909</v>
      </c>
      <c r="AE3" s="26"/>
      <c r="AF3" s="160" t="s">
        <v>810</v>
      </c>
      <c r="AG3" s="26">
        <v>0</v>
      </c>
      <c r="AI3" s="180">
        <v>7439976</v>
      </c>
      <c r="AK3" s="78">
        <v>40836</v>
      </c>
      <c r="AM3" s="192">
        <f t="shared" ref="AM3:AM81" si="1">LEN(AL3)</f>
        <v>0</v>
      </c>
    </row>
    <row r="4" spans="1:42" s="18" customFormat="1" ht="24.95" customHeight="1">
      <c r="A4" s="243" t="s">
        <v>430</v>
      </c>
      <c r="B4" s="243" t="s">
        <v>429</v>
      </c>
      <c r="C4" s="243" t="s">
        <v>485</v>
      </c>
      <c r="D4" s="245" t="s">
        <v>601</v>
      </c>
      <c r="E4" s="243" t="s">
        <v>424</v>
      </c>
      <c r="F4" s="245" t="s">
        <v>600</v>
      </c>
      <c r="G4" s="243" t="s">
        <v>425</v>
      </c>
      <c r="H4" s="243" t="s">
        <v>15</v>
      </c>
      <c r="I4" s="246" t="s">
        <v>681</v>
      </c>
      <c r="J4" s="245">
        <v>12.501999999999999</v>
      </c>
      <c r="K4" s="253" t="s">
        <v>14</v>
      </c>
      <c r="M4" s="245">
        <v>5.4399999999999995</v>
      </c>
      <c r="N4" s="243" t="s">
        <v>426</v>
      </c>
      <c r="O4" s="243" t="s">
        <v>613</v>
      </c>
      <c r="P4" s="243" t="s">
        <v>16</v>
      </c>
      <c r="Q4" s="245">
        <v>2008</v>
      </c>
      <c r="R4" s="243" t="s">
        <v>427</v>
      </c>
      <c r="S4" s="243" t="s">
        <v>428</v>
      </c>
      <c r="T4" s="245">
        <v>105.15584527625815</v>
      </c>
      <c r="U4" s="245" t="s">
        <v>484</v>
      </c>
      <c r="V4" s="63" t="s">
        <v>767</v>
      </c>
      <c r="W4" s="25" t="s">
        <v>684</v>
      </c>
      <c r="X4" s="344" t="s">
        <v>782</v>
      </c>
      <c r="Y4" s="345" t="s">
        <v>903</v>
      </c>
      <c r="Z4" s="346">
        <v>121.1</v>
      </c>
      <c r="AA4" s="346" t="s">
        <v>904</v>
      </c>
      <c r="AB4" s="347" t="s">
        <v>905</v>
      </c>
      <c r="AC4" s="252" t="str">
        <f>E4</f>
        <v>827611</v>
      </c>
      <c r="AD4" s="252" t="s">
        <v>909</v>
      </c>
      <c r="AE4" s="252"/>
      <c r="AF4" s="252" t="s">
        <v>811</v>
      </c>
      <c r="AG4" s="252">
        <v>1</v>
      </c>
      <c r="AH4" s="18">
        <v>92590114</v>
      </c>
      <c r="AI4" s="180">
        <v>7439976</v>
      </c>
      <c r="AK4" s="78">
        <v>40862</v>
      </c>
      <c r="AL4" s="315" t="s">
        <v>894</v>
      </c>
      <c r="AM4" s="315" t="s">
        <v>635</v>
      </c>
      <c r="AN4" s="18">
        <v>10</v>
      </c>
    </row>
    <row r="5" spans="1:42" s="18" customFormat="1" ht="24.95" customHeight="1">
      <c r="A5" s="3" t="s">
        <v>452</v>
      </c>
      <c r="B5" s="3" t="s">
        <v>38</v>
      </c>
      <c r="C5" s="3" t="s">
        <v>643</v>
      </c>
      <c r="D5" s="5" t="s">
        <v>516</v>
      </c>
      <c r="E5" s="3" t="s">
        <v>447</v>
      </c>
      <c r="F5" s="5" t="s">
        <v>605</v>
      </c>
      <c r="G5" s="3" t="s">
        <v>448</v>
      </c>
      <c r="H5" s="3" t="s">
        <v>15</v>
      </c>
      <c r="I5" s="11" t="s">
        <v>681</v>
      </c>
      <c r="J5" s="5">
        <v>5.50024E-2</v>
      </c>
      <c r="K5" s="35" t="s">
        <v>14</v>
      </c>
      <c r="L5" s="3"/>
      <c r="M5" s="5">
        <v>4.4499999999999998E-2</v>
      </c>
      <c r="N5" s="3" t="s">
        <v>449</v>
      </c>
      <c r="O5" s="3" t="s">
        <v>634</v>
      </c>
      <c r="P5" s="3" t="s">
        <v>16</v>
      </c>
      <c r="Q5" s="5">
        <v>2008</v>
      </c>
      <c r="R5" s="3" t="s">
        <v>450</v>
      </c>
      <c r="S5" s="3" t="s">
        <v>451</v>
      </c>
      <c r="T5" s="5" t="s">
        <v>8</v>
      </c>
      <c r="U5" s="5" t="s">
        <v>635</v>
      </c>
      <c r="V5" s="18" t="s">
        <v>503</v>
      </c>
      <c r="W5" s="40" t="s">
        <v>721</v>
      </c>
      <c r="X5" s="84" t="s">
        <v>806</v>
      </c>
      <c r="Y5" s="19"/>
      <c r="Z5" s="3"/>
      <c r="AA5" s="3"/>
      <c r="AB5" s="4"/>
      <c r="AC5" s="119" t="str">
        <f t="shared" si="0"/>
        <v>976111</v>
      </c>
      <c r="AD5" s="160" t="s">
        <v>910</v>
      </c>
      <c r="AE5" s="26"/>
      <c r="AF5" s="26" t="s">
        <v>808</v>
      </c>
      <c r="AG5" s="26">
        <v>1</v>
      </c>
      <c r="AH5" s="94" t="s">
        <v>809</v>
      </c>
      <c r="AI5" s="180">
        <v>7439976</v>
      </c>
      <c r="AJ5" s="84" t="s">
        <v>805</v>
      </c>
      <c r="AK5" s="78">
        <v>40819</v>
      </c>
      <c r="AL5" s="315" t="s">
        <v>1004</v>
      </c>
      <c r="AM5" s="192">
        <f t="shared" si="1"/>
        <v>53</v>
      </c>
      <c r="AN5" s="102">
        <v>2</v>
      </c>
      <c r="AO5" s="194" t="s">
        <v>911</v>
      </c>
    </row>
    <row r="6" spans="1:42" s="18" customFormat="1" ht="24.95" customHeight="1">
      <c r="A6" s="3" t="s">
        <v>458</v>
      </c>
      <c r="B6" s="3" t="s">
        <v>12</v>
      </c>
      <c r="C6" s="3" t="s">
        <v>501</v>
      </c>
      <c r="D6" s="5" t="s">
        <v>511</v>
      </c>
      <c r="E6" s="205" t="s">
        <v>453</v>
      </c>
      <c r="F6" s="5" t="s">
        <v>606</v>
      </c>
      <c r="G6" s="3" t="s">
        <v>454</v>
      </c>
      <c r="H6" s="3" t="s">
        <v>15</v>
      </c>
      <c r="I6" s="11" t="s">
        <v>681</v>
      </c>
      <c r="J6" s="5">
        <v>102.6</v>
      </c>
      <c r="K6" s="35" t="s">
        <v>32</v>
      </c>
      <c r="L6" s="23">
        <v>0.252</v>
      </c>
      <c r="M6" s="5">
        <v>0.252</v>
      </c>
      <c r="N6" s="3" t="s">
        <v>455</v>
      </c>
      <c r="O6" s="3" t="s">
        <v>613</v>
      </c>
      <c r="P6" s="3" t="s">
        <v>16</v>
      </c>
      <c r="Q6" s="5">
        <v>2008</v>
      </c>
      <c r="R6" s="3" t="s">
        <v>456</v>
      </c>
      <c r="S6" s="3" t="s">
        <v>457</v>
      </c>
      <c r="T6" s="5">
        <v>207.77049837117218</v>
      </c>
      <c r="U6" s="5" t="s">
        <v>500</v>
      </c>
      <c r="V6" s="38" t="s">
        <v>747</v>
      </c>
      <c r="W6" s="8" t="s">
        <v>637</v>
      </c>
      <c r="X6" s="249" t="s">
        <v>806</v>
      </c>
      <c r="Y6" s="19"/>
      <c r="Z6" s="3"/>
      <c r="AA6" s="3"/>
      <c r="AB6" s="4"/>
      <c r="AC6" s="119" t="str">
        <f t="shared" si="0"/>
        <v>985911</v>
      </c>
      <c r="AD6" s="252" t="s">
        <v>910</v>
      </c>
      <c r="AE6" s="26"/>
      <c r="AF6" s="267" t="s">
        <v>811</v>
      </c>
      <c r="AG6" s="26">
        <v>1</v>
      </c>
      <c r="AH6" s="94" t="s">
        <v>945</v>
      </c>
      <c r="AI6" s="180">
        <v>7439976</v>
      </c>
      <c r="AL6" s="192" t="s">
        <v>894</v>
      </c>
      <c r="AM6" s="192">
        <f t="shared" si="1"/>
        <v>166</v>
      </c>
      <c r="AN6" s="18">
        <v>10</v>
      </c>
    </row>
    <row r="7" spans="1:42" s="18" customFormat="1" ht="24.95" customHeight="1">
      <c r="A7" s="243" t="s">
        <v>458</v>
      </c>
      <c r="B7" s="243" t="s">
        <v>12</v>
      </c>
      <c r="C7" s="243" t="s">
        <v>501</v>
      </c>
      <c r="D7" s="245" t="s">
        <v>511</v>
      </c>
      <c r="E7" s="205" t="s">
        <v>453</v>
      </c>
      <c r="F7" s="245" t="s">
        <v>606</v>
      </c>
      <c r="G7" s="243" t="s">
        <v>454</v>
      </c>
      <c r="H7" s="243" t="s">
        <v>15</v>
      </c>
      <c r="I7" s="246" t="s">
        <v>681</v>
      </c>
      <c r="J7" s="245">
        <v>102.6</v>
      </c>
      <c r="K7" s="253" t="s">
        <v>32</v>
      </c>
      <c r="L7" s="250">
        <v>0.252</v>
      </c>
      <c r="M7" s="245">
        <v>0.252</v>
      </c>
      <c r="N7" s="243" t="s">
        <v>455</v>
      </c>
      <c r="O7" s="243" t="s">
        <v>613</v>
      </c>
      <c r="P7" s="243" t="s">
        <v>16</v>
      </c>
      <c r="Q7" s="245">
        <v>2008</v>
      </c>
      <c r="R7" s="243" t="s">
        <v>456</v>
      </c>
      <c r="S7" s="243" t="s">
        <v>457</v>
      </c>
      <c r="T7" s="245">
        <v>207.77049837117218</v>
      </c>
      <c r="U7" s="245" t="s">
        <v>500</v>
      </c>
      <c r="V7" s="38" t="s">
        <v>747</v>
      </c>
      <c r="W7" s="8" t="s">
        <v>637</v>
      </c>
      <c r="X7" s="249" t="s">
        <v>806</v>
      </c>
      <c r="Y7" s="19"/>
      <c r="Z7" s="243"/>
      <c r="AA7" s="243"/>
      <c r="AB7" s="244"/>
      <c r="AC7" s="252" t="str">
        <f>E7</f>
        <v>985911</v>
      </c>
      <c r="AD7" s="252" t="s">
        <v>910</v>
      </c>
      <c r="AE7" s="245">
        <v>207.77049837117218</v>
      </c>
      <c r="AF7" s="267" t="s">
        <v>966</v>
      </c>
      <c r="AG7" s="252">
        <v>1</v>
      </c>
      <c r="AH7" s="317">
        <v>61635214</v>
      </c>
      <c r="AI7" s="180">
        <v>7439976</v>
      </c>
      <c r="AL7" s="192" t="s">
        <v>894</v>
      </c>
      <c r="AM7" s="192">
        <f t="shared" si="1"/>
        <v>166</v>
      </c>
      <c r="AN7" s="18">
        <v>10</v>
      </c>
    </row>
    <row r="8" spans="1:42" s="18" customFormat="1" ht="24.95" customHeight="1">
      <c r="A8" s="3" t="s">
        <v>13</v>
      </c>
      <c r="B8" s="3" t="s">
        <v>12</v>
      </c>
      <c r="C8" s="3" t="s">
        <v>639</v>
      </c>
      <c r="D8" s="5" t="s">
        <v>511</v>
      </c>
      <c r="E8" s="205" t="s">
        <v>6</v>
      </c>
      <c r="F8" s="5" t="s">
        <v>510</v>
      </c>
      <c r="G8" s="3" t="s">
        <v>7</v>
      </c>
      <c r="H8" s="3" t="s">
        <v>15</v>
      </c>
      <c r="I8" s="11" t="s">
        <v>681</v>
      </c>
      <c r="J8" s="5">
        <v>299.42999999999995</v>
      </c>
      <c r="K8" s="35" t="s">
        <v>14</v>
      </c>
      <c r="L8" s="23">
        <v>1.42</v>
      </c>
      <c r="M8" s="5">
        <v>74.001800000000003</v>
      </c>
      <c r="N8" s="3" t="s">
        <v>9</v>
      </c>
      <c r="O8" s="3" t="s">
        <v>8</v>
      </c>
      <c r="P8" s="3" t="s">
        <v>16</v>
      </c>
      <c r="Q8" s="5">
        <v>2008</v>
      </c>
      <c r="R8" s="3" t="s">
        <v>10</v>
      </c>
      <c r="S8" s="3" t="s">
        <v>11</v>
      </c>
      <c r="T8" s="5" t="s">
        <v>8</v>
      </c>
      <c r="U8" s="5" t="s">
        <v>635</v>
      </c>
      <c r="V8" s="31" t="s">
        <v>506</v>
      </c>
      <c r="W8" s="8" t="s">
        <v>505</v>
      </c>
      <c r="X8" s="261" t="s">
        <v>806</v>
      </c>
      <c r="Y8" s="262" t="s">
        <v>959</v>
      </c>
      <c r="Z8" s="3"/>
      <c r="AA8" s="3"/>
      <c r="AB8" s="4"/>
      <c r="AC8" s="119" t="str">
        <f t="shared" si="0"/>
        <v>1000011</v>
      </c>
      <c r="AD8" s="252" t="s">
        <v>912</v>
      </c>
      <c r="AE8" s="26"/>
      <c r="AF8" s="252" t="s">
        <v>810</v>
      </c>
      <c r="AG8" s="26">
        <v>0</v>
      </c>
      <c r="AI8" s="180">
        <v>7439976</v>
      </c>
      <c r="AM8" s="192">
        <f t="shared" si="1"/>
        <v>0</v>
      </c>
    </row>
    <row r="9" spans="1:42" s="18" customFormat="1" ht="24.95" customHeight="1">
      <c r="A9" s="3" t="s">
        <v>21</v>
      </c>
      <c r="B9" s="3" t="s">
        <v>12</v>
      </c>
      <c r="C9" s="3" t="s">
        <v>474</v>
      </c>
      <c r="D9" s="5" t="s">
        <v>512</v>
      </c>
      <c r="E9" s="205" t="s">
        <v>958</v>
      </c>
      <c r="F9" s="5">
        <v>10730260</v>
      </c>
      <c r="G9" s="3" t="s">
        <v>17</v>
      </c>
      <c r="H9" s="3" t="s">
        <v>15</v>
      </c>
      <c r="I9" s="11" t="s">
        <v>681</v>
      </c>
      <c r="J9" s="5">
        <v>188.57745799999998</v>
      </c>
      <c r="K9" s="35" t="s">
        <v>689</v>
      </c>
      <c r="L9" s="3"/>
      <c r="M9" s="23">
        <v>298.98</v>
      </c>
      <c r="N9" s="243" t="s">
        <v>18</v>
      </c>
      <c r="O9" s="3" t="s">
        <v>8</v>
      </c>
      <c r="P9" s="3" t="s">
        <v>16</v>
      </c>
      <c r="Q9" s="5">
        <v>2008</v>
      </c>
      <c r="R9" s="3" t="s">
        <v>19</v>
      </c>
      <c r="S9" s="3" t="s">
        <v>20</v>
      </c>
      <c r="T9" s="5" t="s">
        <v>8</v>
      </c>
      <c r="U9" s="5" t="s">
        <v>635</v>
      </c>
      <c r="V9" s="15" t="s">
        <v>768</v>
      </c>
      <c r="W9" s="40" t="s">
        <v>721</v>
      </c>
      <c r="X9" s="251" t="s">
        <v>782</v>
      </c>
      <c r="Y9" s="30" t="s">
        <v>944</v>
      </c>
      <c r="Z9" s="3"/>
      <c r="AA9" s="3"/>
      <c r="AB9" s="4"/>
      <c r="AC9" s="119" t="str">
        <f t="shared" si="0"/>
        <v>1001311</v>
      </c>
      <c r="AD9" s="252" t="s">
        <v>912</v>
      </c>
      <c r="AE9" s="26"/>
      <c r="AF9" s="252" t="s">
        <v>810</v>
      </c>
      <c r="AG9" s="26">
        <v>0</v>
      </c>
      <c r="AI9" s="180">
        <v>7439976</v>
      </c>
      <c r="AM9" s="192">
        <f t="shared" si="1"/>
        <v>0</v>
      </c>
    </row>
    <row r="10" spans="1:42" s="18" customFormat="1" ht="24.95" customHeight="1">
      <c r="A10" s="3" t="s">
        <v>21</v>
      </c>
      <c r="B10" s="3" t="s">
        <v>12</v>
      </c>
      <c r="C10" s="3" t="s">
        <v>474</v>
      </c>
      <c r="D10" s="5" t="s">
        <v>512</v>
      </c>
      <c r="E10" s="3" t="s">
        <v>22</v>
      </c>
      <c r="F10" s="5" t="s">
        <v>513</v>
      </c>
      <c r="G10" s="3" t="s">
        <v>23</v>
      </c>
      <c r="H10" s="3" t="s">
        <v>15</v>
      </c>
      <c r="I10" s="11" t="s">
        <v>681</v>
      </c>
      <c r="J10" s="3"/>
      <c r="K10" s="35" t="s">
        <v>635</v>
      </c>
      <c r="M10" s="23">
        <v>49.6</v>
      </c>
      <c r="N10" s="3" t="s">
        <v>24</v>
      </c>
      <c r="O10" s="3" t="s">
        <v>613</v>
      </c>
      <c r="P10" s="3" t="s">
        <v>16</v>
      </c>
      <c r="Q10" s="5">
        <v>2008</v>
      </c>
      <c r="R10" s="3" t="s">
        <v>25</v>
      </c>
      <c r="S10" s="3" t="s">
        <v>20</v>
      </c>
      <c r="T10" s="5">
        <v>99.940010344905772</v>
      </c>
      <c r="U10" s="5" t="s">
        <v>473</v>
      </c>
      <c r="V10" s="45" t="s">
        <v>716</v>
      </c>
      <c r="W10" s="25" t="s">
        <v>684</v>
      </c>
      <c r="X10" s="249" t="s">
        <v>819</v>
      </c>
      <c r="Y10" s="19"/>
      <c r="Z10" s="3"/>
      <c r="AA10" s="3"/>
      <c r="AB10" s="4"/>
      <c r="AC10" s="119" t="str">
        <f t="shared" si="0"/>
        <v>1002411</v>
      </c>
      <c r="AD10" s="252" t="s">
        <v>910</v>
      </c>
      <c r="AE10" s="26"/>
      <c r="AF10" s="252" t="s">
        <v>811</v>
      </c>
      <c r="AG10" s="26">
        <v>1</v>
      </c>
      <c r="AH10" s="317">
        <v>86688614</v>
      </c>
      <c r="AI10" s="180">
        <v>7439976</v>
      </c>
      <c r="AL10" s="192" t="s">
        <v>894</v>
      </c>
      <c r="AM10" s="192">
        <f t="shared" si="1"/>
        <v>166</v>
      </c>
      <c r="AN10" s="18">
        <v>10</v>
      </c>
    </row>
    <row r="11" spans="1:42" s="18" customFormat="1" ht="24.95" customHeight="1">
      <c r="A11" s="3" t="s">
        <v>31</v>
      </c>
      <c r="B11" s="3" t="s">
        <v>12</v>
      </c>
      <c r="C11" s="3" t="s">
        <v>30</v>
      </c>
      <c r="D11" s="5" t="s">
        <v>511</v>
      </c>
      <c r="E11" s="3" t="s">
        <v>26</v>
      </c>
      <c r="F11" s="5" t="s">
        <v>514</v>
      </c>
      <c r="G11" s="3" t="s">
        <v>27</v>
      </c>
      <c r="H11" s="3" t="s">
        <v>15</v>
      </c>
      <c r="I11" s="11" t="s">
        <v>681</v>
      </c>
      <c r="J11" s="5">
        <v>26</v>
      </c>
      <c r="K11" s="35" t="s">
        <v>32</v>
      </c>
      <c r="L11" s="23">
        <v>6.0000000000000005E-2</v>
      </c>
      <c r="M11" s="5">
        <v>46</v>
      </c>
      <c r="N11" s="3" t="s">
        <v>28</v>
      </c>
      <c r="O11" s="3" t="s">
        <v>613</v>
      </c>
      <c r="P11" s="3" t="s">
        <v>16</v>
      </c>
      <c r="Q11" s="5">
        <v>2008</v>
      </c>
      <c r="R11" s="3" t="s">
        <v>29</v>
      </c>
      <c r="S11" s="3" t="s">
        <v>30</v>
      </c>
      <c r="T11" s="5" t="s">
        <v>8</v>
      </c>
      <c r="U11" s="5" t="s">
        <v>635</v>
      </c>
      <c r="V11" s="45" t="s">
        <v>715</v>
      </c>
      <c r="W11" s="8" t="s">
        <v>505</v>
      </c>
      <c r="X11" s="249" t="s">
        <v>819</v>
      </c>
      <c r="Y11" s="262" t="s">
        <v>959</v>
      </c>
      <c r="Z11" s="3"/>
      <c r="AA11" s="3"/>
      <c r="AB11" s="4"/>
      <c r="AC11" s="119" t="str">
        <f t="shared" si="0"/>
        <v>1003711</v>
      </c>
      <c r="AD11" s="252" t="s">
        <v>912</v>
      </c>
      <c r="AE11" s="26"/>
      <c r="AF11" s="252" t="s">
        <v>810</v>
      </c>
      <c r="AG11" s="26">
        <v>0</v>
      </c>
      <c r="AI11" s="180">
        <v>7439976</v>
      </c>
      <c r="AM11" s="192">
        <f t="shared" si="1"/>
        <v>0</v>
      </c>
    </row>
    <row r="12" spans="1:42" s="18" customFormat="1" ht="24.95" customHeight="1">
      <c r="A12" s="3" t="s">
        <v>39</v>
      </c>
      <c r="B12" s="3" t="s">
        <v>38</v>
      </c>
      <c r="C12" s="3" t="s">
        <v>491</v>
      </c>
      <c r="D12" s="5" t="s">
        <v>516</v>
      </c>
      <c r="E12" s="10" t="s">
        <v>33</v>
      </c>
      <c r="F12" s="5" t="s">
        <v>515</v>
      </c>
      <c r="G12" s="3" t="s">
        <v>34</v>
      </c>
      <c r="H12" s="3" t="s">
        <v>15</v>
      </c>
      <c r="I12" s="11" t="s">
        <v>681</v>
      </c>
      <c r="J12" s="5">
        <v>7.6</v>
      </c>
      <c r="K12" s="35" t="s">
        <v>32</v>
      </c>
      <c r="L12" s="23">
        <v>5.2341480459999987</v>
      </c>
      <c r="M12" s="23">
        <v>238</v>
      </c>
      <c r="N12" s="3" t="s">
        <v>35</v>
      </c>
      <c r="O12" s="3" t="s">
        <v>614</v>
      </c>
      <c r="P12" s="3" t="s">
        <v>16</v>
      </c>
      <c r="Q12" s="5">
        <v>2009</v>
      </c>
      <c r="R12" s="3" t="s">
        <v>36</v>
      </c>
      <c r="S12" s="3" t="s">
        <v>37</v>
      </c>
      <c r="T12" s="5" t="s">
        <v>8</v>
      </c>
      <c r="U12" s="5" t="s">
        <v>635</v>
      </c>
      <c r="V12" s="29" t="s">
        <v>507</v>
      </c>
      <c r="W12" s="8" t="s">
        <v>505</v>
      </c>
      <c r="X12" s="84" t="s">
        <v>806</v>
      </c>
      <c r="Y12" s="19"/>
      <c r="Z12" s="3"/>
      <c r="AA12" s="3"/>
      <c r="AB12" s="4"/>
      <c r="AC12" s="119" t="str">
        <f t="shared" si="0"/>
        <v>1008911</v>
      </c>
      <c r="AD12" s="160" t="s">
        <v>912</v>
      </c>
      <c r="AE12" s="26"/>
      <c r="AF12" s="26" t="s">
        <v>810</v>
      </c>
      <c r="AG12" s="26">
        <v>0</v>
      </c>
      <c r="AH12" t="s">
        <v>635</v>
      </c>
      <c r="AI12" s="180">
        <v>7439976</v>
      </c>
      <c r="AJ12" s="102" t="s">
        <v>635</v>
      </c>
      <c r="AK12" s="104" t="s">
        <v>635</v>
      </c>
      <c r="AM12" s="192">
        <f t="shared" si="1"/>
        <v>0</v>
      </c>
      <c r="AO12" s="196" t="s">
        <v>913</v>
      </c>
    </row>
    <row r="13" spans="1:42" s="18" customFormat="1" ht="24.95" customHeight="1">
      <c r="A13" s="3" t="s">
        <v>45</v>
      </c>
      <c r="B13" s="3" t="s">
        <v>38</v>
      </c>
      <c r="C13" s="3" t="s">
        <v>482</v>
      </c>
      <c r="D13" s="5" t="s">
        <v>516</v>
      </c>
      <c r="E13" s="3" t="s">
        <v>40</v>
      </c>
      <c r="F13" s="5" t="s">
        <v>517</v>
      </c>
      <c r="G13" s="3" t="s">
        <v>41</v>
      </c>
      <c r="H13" s="3" t="s">
        <v>15</v>
      </c>
      <c r="I13" s="11" t="s">
        <v>681</v>
      </c>
      <c r="J13" s="5">
        <v>0.12820000000000001</v>
      </c>
      <c r="K13" s="35" t="s">
        <v>14</v>
      </c>
      <c r="L13" s="3"/>
      <c r="M13" s="5">
        <v>0.17469999999999999</v>
      </c>
      <c r="N13" s="3" t="s">
        <v>42</v>
      </c>
      <c r="O13" s="3" t="s">
        <v>615</v>
      </c>
      <c r="P13" s="3" t="s">
        <v>16</v>
      </c>
      <c r="Q13" s="5">
        <v>2008</v>
      </c>
      <c r="R13" s="3" t="s">
        <v>43</v>
      </c>
      <c r="S13" s="3" t="s">
        <v>44</v>
      </c>
      <c r="T13" s="5" t="s">
        <v>8</v>
      </c>
      <c r="U13" s="5" t="s">
        <v>635</v>
      </c>
      <c r="V13" s="8" t="s">
        <v>717</v>
      </c>
      <c r="W13" s="40" t="s">
        <v>721</v>
      </c>
      <c r="X13" s="84" t="s">
        <v>806</v>
      </c>
      <c r="Y13" s="19"/>
      <c r="Z13" s="3"/>
      <c r="AA13" s="3"/>
      <c r="AB13" s="4"/>
      <c r="AC13" s="119" t="str">
        <f t="shared" si="0"/>
        <v>1083611</v>
      </c>
      <c r="AD13" s="160" t="s">
        <v>910</v>
      </c>
      <c r="AE13" s="26"/>
      <c r="AF13" s="26" t="s">
        <v>808</v>
      </c>
      <c r="AG13" s="26">
        <v>1</v>
      </c>
      <c r="AH13" s="317">
        <v>62204514</v>
      </c>
      <c r="AI13" s="180">
        <v>7439976</v>
      </c>
      <c r="AJ13" s="84" t="s">
        <v>812</v>
      </c>
      <c r="AK13" s="78">
        <v>40819</v>
      </c>
      <c r="AL13" s="315" t="s">
        <v>1004</v>
      </c>
      <c r="AM13" s="192">
        <f t="shared" si="1"/>
        <v>53</v>
      </c>
      <c r="AN13" s="102">
        <v>2</v>
      </c>
      <c r="AO13" t="s">
        <v>914</v>
      </c>
    </row>
    <row r="14" spans="1:42" s="18" customFormat="1" ht="24.95" customHeight="1">
      <c r="A14" s="3" t="s">
        <v>39</v>
      </c>
      <c r="B14" s="3" t="s">
        <v>38</v>
      </c>
      <c r="C14" s="3" t="s">
        <v>491</v>
      </c>
      <c r="D14" s="5" t="s">
        <v>516</v>
      </c>
      <c r="E14" s="3" t="s">
        <v>46</v>
      </c>
      <c r="F14" s="5">
        <v>509300233</v>
      </c>
      <c r="G14" s="3" t="s">
        <v>47</v>
      </c>
      <c r="H14" s="3" t="s">
        <v>15</v>
      </c>
      <c r="I14" s="11" t="s">
        <v>681</v>
      </c>
      <c r="J14" s="5">
        <v>246.95999999999998</v>
      </c>
      <c r="K14" s="35" t="s">
        <v>14</v>
      </c>
      <c r="L14" s="3"/>
      <c r="M14" s="23">
        <v>169.23</v>
      </c>
      <c r="N14" s="3" t="s">
        <v>48</v>
      </c>
      <c r="O14" s="3" t="s">
        <v>616</v>
      </c>
      <c r="P14" s="3" t="s">
        <v>16</v>
      </c>
      <c r="Q14" s="5">
        <v>2009</v>
      </c>
      <c r="R14" s="3" t="s">
        <v>49</v>
      </c>
      <c r="S14" s="3" t="s">
        <v>37</v>
      </c>
      <c r="T14" s="5">
        <v>304.527414170697</v>
      </c>
      <c r="U14" s="5" t="s">
        <v>711</v>
      </c>
      <c r="V14" s="8" t="s">
        <v>717</v>
      </c>
      <c r="W14" s="25" t="s">
        <v>684</v>
      </c>
      <c r="X14" s="84" t="s">
        <v>806</v>
      </c>
      <c r="Y14" s="85" t="s">
        <v>807</v>
      </c>
      <c r="Z14" s="3"/>
      <c r="AA14" s="3"/>
      <c r="AB14" s="4"/>
      <c r="AC14" s="119" t="str">
        <f t="shared" si="0"/>
        <v>1084511</v>
      </c>
      <c r="AD14" s="160" t="s">
        <v>910</v>
      </c>
      <c r="AE14" s="26"/>
      <c r="AF14" s="26" t="s">
        <v>811</v>
      </c>
      <c r="AG14" s="26">
        <v>1</v>
      </c>
      <c r="AH14" s="318">
        <v>58971614</v>
      </c>
      <c r="AI14" s="180">
        <v>7439976</v>
      </c>
      <c r="AJ14" s="84" t="s">
        <v>813</v>
      </c>
      <c r="AK14" s="78">
        <v>40819</v>
      </c>
      <c r="AL14" s="192" t="s">
        <v>894</v>
      </c>
      <c r="AM14" s="192">
        <f t="shared" si="1"/>
        <v>166</v>
      </c>
      <c r="AN14" s="18">
        <v>10</v>
      </c>
      <c r="AO14" s="169" t="s">
        <v>875</v>
      </c>
    </row>
    <row r="15" spans="1:42" s="18" customFormat="1" ht="24.95" customHeight="1">
      <c r="A15" s="3" t="s">
        <v>55</v>
      </c>
      <c r="B15" s="3" t="s">
        <v>54</v>
      </c>
      <c r="C15" s="3" t="s">
        <v>648</v>
      </c>
      <c r="D15" s="5" t="s">
        <v>519</v>
      </c>
      <c r="E15" s="117" t="s">
        <v>854</v>
      </c>
      <c r="F15" s="5" t="s">
        <v>518</v>
      </c>
      <c r="G15" s="3" t="s">
        <v>50</v>
      </c>
      <c r="H15" s="3" t="s">
        <v>15</v>
      </c>
      <c r="I15" s="11" t="s">
        <v>681</v>
      </c>
      <c r="J15" s="5">
        <v>29.323706000000001</v>
      </c>
      <c r="K15" s="35" t="s">
        <v>56</v>
      </c>
      <c r="L15" s="5">
        <v>9.3600000000000003E-3</v>
      </c>
      <c r="M15" s="3"/>
      <c r="N15" s="3" t="s">
        <v>51</v>
      </c>
      <c r="O15" s="3" t="s">
        <v>613</v>
      </c>
      <c r="P15" s="3" t="s">
        <v>16</v>
      </c>
      <c r="Q15" s="5">
        <v>2008</v>
      </c>
      <c r="R15" s="3" t="s">
        <v>52</v>
      </c>
      <c r="S15" s="3" t="s">
        <v>53</v>
      </c>
      <c r="T15" s="5" t="s">
        <v>8</v>
      </c>
      <c r="U15" s="5" t="s">
        <v>635</v>
      </c>
      <c r="V15" s="46" t="s">
        <v>719</v>
      </c>
      <c r="W15" s="6" t="s">
        <v>505</v>
      </c>
      <c r="X15" s="67" t="s">
        <v>782</v>
      </c>
      <c r="Y15" s="268" t="s">
        <v>785</v>
      </c>
      <c r="Z15" s="3">
        <v>6.7839999999999998</v>
      </c>
      <c r="AA15" s="3"/>
      <c r="AB15" s="4"/>
      <c r="AC15" s="119" t="str">
        <f t="shared" si="0"/>
        <v>1733111</v>
      </c>
      <c r="AD15" s="160" t="s">
        <v>915</v>
      </c>
      <c r="AE15" s="26"/>
      <c r="AF15" s="26" t="s">
        <v>810</v>
      </c>
      <c r="AG15" s="252">
        <v>0</v>
      </c>
      <c r="AH15" s="319">
        <v>44601614</v>
      </c>
      <c r="AI15" s="180">
        <v>7439976</v>
      </c>
      <c r="AJ15" s="70" t="s">
        <v>788</v>
      </c>
      <c r="AK15" s="78">
        <v>40819</v>
      </c>
      <c r="AL15" s="95" t="s">
        <v>815</v>
      </c>
      <c r="AM15" s="192">
        <f t="shared" si="1"/>
        <v>27</v>
      </c>
      <c r="AN15" s="95"/>
    </row>
    <row r="16" spans="1:42" s="18" customFormat="1" ht="24.95" customHeight="1">
      <c r="A16" s="3" t="s">
        <v>63</v>
      </c>
      <c r="B16" s="3" t="s">
        <v>62</v>
      </c>
      <c r="C16" s="3" t="s">
        <v>651</v>
      </c>
      <c r="D16" s="23" t="s">
        <v>521</v>
      </c>
      <c r="E16" s="3" t="s">
        <v>57</v>
      </c>
      <c r="F16" s="23" t="s">
        <v>520</v>
      </c>
      <c r="G16" s="3" t="s">
        <v>58</v>
      </c>
      <c r="H16" s="3" t="s">
        <v>15</v>
      </c>
      <c r="I16" s="11" t="s">
        <v>681</v>
      </c>
      <c r="J16" s="23">
        <v>218.18</v>
      </c>
      <c r="K16" s="35" t="s">
        <v>14</v>
      </c>
      <c r="L16" s="17"/>
      <c r="M16" s="23">
        <v>190.44</v>
      </c>
      <c r="N16" s="3" t="s">
        <v>59</v>
      </c>
      <c r="O16" s="3" t="s">
        <v>59</v>
      </c>
      <c r="P16" s="3" t="s">
        <v>16</v>
      </c>
      <c r="Q16" s="5">
        <v>2008</v>
      </c>
      <c r="R16" s="3" t="s">
        <v>60</v>
      </c>
      <c r="S16" s="3" t="s">
        <v>61</v>
      </c>
      <c r="T16" s="5">
        <v>74.721931584226937</v>
      </c>
      <c r="U16" s="5" t="s">
        <v>486</v>
      </c>
      <c r="V16" s="37" t="s">
        <v>718</v>
      </c>
      <c r="W16" s="18" t="s">
        <v>684</v>
      </c>
      <c r="X16" s="79" t="s">
        <v>792</v>
      </c>
      <c r="Y16" s="80" t="s">
        <v>793</v>
      </c>
      <c r="Z16" s="3"/>
      <c r="AA16" s="3"/>
      <c r="AB16" s="4"/>
      <c r="AC16" s="119" t="str">
        <f t="shared" si="0"/>
        <v>2898511</v>
      </c>
      <c r="AD16" s="160" t="s">
        <v>910</v>
      </c>
      <c r="AE16" s="26"/>
      <c r="AF16" s="160" t="s">
        <v>811</v>
      </c>
      <c r="AG16" s="252">
        <v>1</v>
      </c>
      <c r="AH16" s="320">
        <v>11880614</v>
      </c>
      <c r="AI16" s="180">
        <v>7439976</v>
      </c>
      <c r="AJ16" s="79" t="s">
        <v>794</v>
      </c>
      <c r="AK16" s="78">
        <v>40805</v>
      </c>
      <c r="AL16" s="249" t="s">
        <v>894</v>
      </c>
      <c r="AM16" s="192">
        <f t="shared" si="1"/>
        <v>166</v>
      </c>
      <c r="AN16" s="18">
        <v>10</v>
      </c>
    </row>
    <row r="17" spans="1:40" s="18" customFormat="1" ht="24.95" customHeight="1">
      <c r="A17" s="3" t="s">
        <v>69</v>
      </c>
      <c r="B17" s="3" t="s">
        <v>68</v>
      </c>
      <c r="C17" s="3" t="s">
        <v>472</v>
      </c>
      <c r="D17" s="5" t="s">
        <v>523</v>
      </c>
      <c r="E17" s="117" t="s">
        <v>64</v>
      </c>
      <c r="F17" s="5" t="s">
        <v>522</v>
      </c>
      <c r="G17" s="3" t="s">
        <v>8</v>
      </c>
      <c r="H17" s="3" t="s">
        <v>15</v>
      </c>
      <c r="I17" s="11" t="s">
        <v>681</v>
      </c>
      <c r="J17" s="5">
        <v>19.223317999999999</v>
      </c>
      <c r="K17" s="35" t="s">
        <v>56</v>
      </c>
      <c r="L17" s="17"/>
      <c r="M17" s="3"/>
      <c r="N17" s="3" t="s">
        <v>65</v>
      </c>
      <c r="O17" s="3" t="s">
        <v>617</v>
      </c>
      <c r="P17" s="3" t="s">
        <v>16</v>
      </c>
      <c r="Q17" s="5">
        <v>2008</v>
      </c>
      <c r="R17" s="3" t="s">
        <v>66</v>
      </c>
      <c r="S17" s="3" t="s">
        <v>67</v>
      </c>
      <c r="T17" s="5" t="s">
        <v>8</v>
      </c>
      <c r="U17" s="5" t="s">
        <v>635</v>
      </c>
      <c r="V17" s="11" t="s">
        <v>752</v>
      </c>
      <c r="W17" s="58" t="s">
        <v>760</v>
      </c>
      <c r="X17" s="184" t="s">
        <v>819</v>
      </c>
      <c r="Y17" s="185" t="s">
        <v>899</v>
      </c>
      <c r="Z17" s="3"/>
      <c r="AA17" s="3"/>
      <c r="AB17" s="4"/>
      <c r="AC17" s="119" t="str">
        <f t="shared" si="0"/>
        <v>3188811</v>
      </c>
      <c r="AD17" s="160" t="s">
        <v>910</v>
      </c>
      <c r="AE17" s="18">
        <f>ROUND(57580*0.000248,2)</f>
        <v>14.28</v>
      </c>
      <c r="AF17" s="252" t="s">
        <v>966</v>
      </c>
      <c r="AG17" s="26">
        <v>1</v>
      </c>
      <c r="AH17" s="317">
        <v>14509914</v>
      </c>
      <c r="AI17" s="180">
        <v>7439976</v>
      </c>
      <c r="AJ17" s="194" t="s">
        <v>635</v>
      </c>
      <c r="AK17" s="197">
        <v>40836</v>
      </c>
      <c r="AL17" s="315" t="s">
        <v>1018</v>
      </c>
      <c r="AM17" s="192">
        <f t="shared" si="1"/>
        <v>96</v>
      </c>
      <c r="AN17" s="18">
        <v>10</v>
      </c>
    </row>
    <row r="18" spans="1:40" s="18" customFormat="1" ht="24.95" customHeight="1">
      <c r="A18" s="3" t="s">
        <v>76</v>
      </c>
      <c r="B18" s="3" t="s">
        <v>68</v>
      </c>
      <c r="C18" s="3" t="s">
        <v>470</v>
      </c>
      <c r="D18" s="23" t="s">
        <v>525</v>
      </c>
      <c r="E18" s="10" t="s">
        <v>71</v>
      </c>
      <c r="F18" s="23" t="s">
        <v>524</v>
      </c>
      <c r="G18" s="3" t="s">
        <v>72</v>
      </c>
      <c r="H18" s="3" t="s">
        <v>15</v>
      </c>
      <c r="I18" s="11" t="s">
        <v>681</v>
      </c>
      <c r="J18" s="23">
        <v>11.403664000000001</v>
      </c>
      <c r="K18" s="35" t="s">
        <v>56</v>
      </c>
      <c r="M18" s="3"/>
      <c r="N18" s="3" t="s">
        <v>73</v>
      </c>
      <c r="O18" s="3" t="s">
        <v>613</v>
      </c>
      <c r="P18" s="3" t="s">
        <v>16</v>
      </c>
      <c r="Q18" s="5">
        <v>2008</v>
      </c>
      <c r="R18" s="3" t="s">
        <v>74</v>
      </c>
      <c r="S18" s="3" t="s">
        <v>75</v>
      </c>
      <c r="T18" s="5" t="s">
        <v>8</v>
      </c>
      <c r="U18" s="5" t="s">
        <v>635</v>
      </c>
      <c r="V18" s="11" t="s">
        <v>753</v>
      </c>
      <c r="W18" s="58" t="s">
        <v>760</v>
      </c>
      <c r="X18" s="84" t="s">
        <v>800</v>
      </c>
      <c r="Y18" s="90" t="s">
        <v>801</v>
      </c>
      <c r="Z18" s="3"/>
      <c r="AA18" s="3"/>
      <c r="AB18" s="4"/>
      <c r="AC18" s="119" t="str">
        <f t="shared" si="0"/>
        <v>3819011</v>
      </c>
      <c r="AD18" s="160" t="s">
        <v>910</v>
      </c>
      <c r="AF18" s="26" t="s">
        <v>814</v>
      </c>
      <c r="AG18" s="26">
        <v>0</v>
      </c>
      <c r="AI18" s="180">
        <v>7439976</v>
      </c>
      <c r="AJ18" s="84" t="s">
        <v>804</v>
      </c>
      <c r="AK18" s="78">
        <v>40819</v>
      </c>
      <c r="AM18" s="192">
        <f t="shared" si="1"/>
        <v>0</v>
      </c>
    </row>
    <row r="19" spans="1:40" s="18" customFormat="1" ht="24.95" customHeight="1">
      <c r="A19" s="243" t="s">
        <v>84</v>
      </c>
      <c r="B19" s="243" t="s">
        <v>83</v>
      </c>
      <c r="C19" s="243" t="s">
        <v>478</v>
      </c>
      <c r="D19" s="245" t="s">
        <v>527</v>
      </c>
      <c r="E19" s="205" t="s">
        <v>77</v>
      </c>
      <c r="F19" s="245" t="s">
        <v>526</v>
      </c>
      <c r="G19" s="243" t="s">
        <v>78</v>
      </c>
      <c r="H19" s="243" t="s">
        <v>15</v>
      </c>
      <c r="I19" s="246" t="s">
        <v>681</v>
      </c>
      <c r="J19" s="245">
        <v>6.9999999999999982</v>
      </c>
      <c r="K19" s="253" t="s">
        <v>32</v>
      </c>
      <c r="L19" s="245">
        <v>7</v>
      </c>
      <c r="M19" s="245">
        <v>71</v>
      </c>
      <c r="N19" s="243" t="s">
        <v>79</v>
      </c>
      <c r="O19" s="243" t="s">
        <v>80</v>
      </c>
      <c r="P19" s="243" t="s">
        <v>16</v>
      </c>
      <c r="Q19" s="245">
        <v>1980</v>
      </c>
      <c r="R19" s="243" t="s">
        <v>81</v>
      </c>
      <c r="S19" s="243" t="s">
        <v>82</v>
      </c>
      <c r="T19" s="245">
        <v>287.68556257306193</v>
      </c>
      <c r="U19" s="55" t="s">
        <v>477</v>
      </c>
      <c r="V19" s="45" t="s">
        <v>636</v>
      </c>
      <c r="W19" s="18" t="s">
        <v>684</v>
      </c>
      <c r="X19" s="251" t="s">
        <v>946</v>
      </c>
      <c r="Y19" s="280" t="s">
        <v>972</v>
      </c>
      <c r="Z19" s="243">
        <v>71</v>
      </c>
      <c r="AA19" s="243"/>
      <c r="AB19" s="244"/>
      <c r="AC19" s="252" t="str">
        <f t="shared" si="0"/>
        <v>3828811</v>
      </c>
      <c r="AD19" s="252"/>
      <c r="AE19" s="243">
        <v>71</v>
      </c>
      <c r="AF19" s="252" t="s">
        <v>966</v>
      </c>
      <c r="AG19" s="252">
        <v>0.14330000000000001</v>
      </c>
      <c r="AH19" s="321">
        <v>8371914</v>
      </c>
      <c r="AI19" s="180">
        <v>7439976</v>
      </c>
      <c r="AL19" s="351" t="s">
        <v>1057</v>
      </c>
      <c r="AM19" s="192">
        <f t="shared" si="1"/>
        <v>237</v>
      </c>
      <c r="AN19" s="18">
        <v>2</v>
      </c>
    </row>
    <row r="20" spans="1:40" s="18" customFormat="1" ht="24.95" customHeight="1">
      <c r="A20" s="243" t="s">
        <v>84</v>
      </c>
      <c r="B20" s="243" t="s">
        <v>83</v>
      </c>
      <c r="C20" s="243" t="s">
        <v>478</v>
      </c>
      <c r="D20" s="245" t="s">
        <v>527</v>
      </c>
      <c r="E20" s="205" t="s">
        <v>77</v>
      </c>
      <c r="F20" s="245" t="s">
        <v>526</v>
      </c>
      <c r="G20" s="243" t="s">
        <v>78</v>
      </c>
      <c r="H20" s="243" t="s">
        <v>15</v>
      </c>
      <c r="I20" s="246" t="s">
        <v>681</v>
      </c>
      <c r="J20" s="245">
        <v>6.9999999999999982</v>
      </c>
      <c r="K20" s="253" t="s">
        <v>32</v>
      </c>
      <c r="L20" s="245">
        <v>7</v>
      </c>
      <c r="M20" s="245">
        <v>71</v>
      </c>
      <c r="N20" s="243" t="s">
        <v>79</v>
      </c>
      <c r="O20" s="243" t="s">
        <v>80</v>
      </c>
      <c r="P20" s="243" t="s">
        <v>16</v>
      </c>
      <c r="Q20" s="245">
        <v>1980</v>
      </c>
      <c r="R20" s="243" t="s">
        <v>81</v>
      </c>
      <c r="S20" s="243" t="s">
        <v>82</v>
      </c>
      <c r="T20" s="245">
        <v>287.68556257306193</v>
      </c>
      <c r="U20" s="55" t="s">
        <v>477</v>
      </c>
      <c r="V20" s="45" t="s">
        <v>636</v>
      </c>
      <c r="W20" s="18" t="s">
        <v>684</v>
      </c>
      <c r="X20" s="251" t="s">
        <v>946</v>
      </c>
      <c r="Y20" s="280" t="s">
        <v>972</v>
      </c>
      <c r="Z20" s="243">
        <v>71</v>
      </c>
      <c r="AA20" s="243"/>
      <c r="AB20" s="244"/>
      <c r="AC20" s="252" t="str">
        <f>E20</f>
        <v>3828811</v>
      </c>
      <c r="AD20" s="252"/>
      <c r="AE20" s="243">
        <v>71</v>
      </c>
      <c r="AF20" s="252" t="s">
        <v>966</v>
      </c>
      <c r="AG20" s="252">
        <v>0</v>
      </c>
      <c r="AH20" s="321">
        <v>8372014</v>
      </c>
      <c r="AI20" s="180">
        <v>7439976</v>
      </c>
      <c r="AL20" s="351" t="s">
        <v>1057</v>
      </c>
      <c r="AM20" s="192">
        <f t="shared" si="1"/>
        <v>237</v>
      </c>
      <c r="AN20" s="18">
        <v>2</v>
      </c>
    </row>
    <row r="21" spans="1:40" s="18" customFormat="1" ht="24.95" customHeight="1">
      <c r="A21" s="243" t="s">
        <v>84</v>
      </c>
      <c r="B21" s="243" t="s">
        <v>83</v>
      </c>
      <c r="C21" s="243" t="s">
        <v>478</v>
      </c>
      <c r="D21" s="245" t="s">
        <v>527</v>
      </c>
      <c r="E21" s="205" t="s">
        <v>77</v>
      </c>
      <c r="F21" s="245" t="s">
        <v>526</v>
      </c>
      <c r="G21" s="243" t="s">
        <v>78</v>
      </c>
      <c r="H21" s="243" t="s">
        <v>15</v>
      </c>
      <c r="I21" s="246" t="s">
        <v>681</v>
      </c>
      <c r="J21" s="245">
        <v>6.9999999999999982</v>
      </c>
      <c r="K21" s="253" t="s">
        <v>32</v>
      </c>
      <c r="L21" s="245">
        <v>7</v>
      </c>
      <c r="M21" s="245">
        <v>71</v>
      </c>
      <c r="N21" s="243" t="s">
        <v>79</v>
      </c>
      <c r="O21" s="243" t="s">
        <v>80</v>
      </c>
      <c r="P21" s="243" t="s">
        <v>16</v>
      </c>
      <c r="Q21" s="245">
        <v>1980</v>
      </c>
      <c r="R21" s="243" t="s">
        <v>81</v>
      </c>
      <c r="S21" s="243" t="s">
        <v>82</v>
      </c>
      <c r="T21" s="245">
        <v>287.68556257306193</v>
      </c>
      <c r="U21" s="55" t="s">
        <v>477</v>
      </c>
      <c r="V21" s="45" t="s">
        <v>636</v>
      </c>
      <c r="W21" s="18" t="s">
        <v>684</v>
      </c>
      <c r="X21" s="251" t="s">
        <v>946</v>
      </c>
      <c r="Y21" s="280" t="s">
        <v>972</v>
      </c>
      <c r="Z21" s="243">
        <v>71</v>
      </c>
      <c r="AA21" s="243"/>
      <c r="AB21" s="244"/>
      <c r="AC21" s="252" t="str">
        <f t="shared" ref="AC21:AC27" si="2">E21</f>
        <v>3828811</v>
      </c>
      <c r="AD21" s="252"/>
      <c r="AE21" s="243">
        <v>71</v>
      </c>
      <c r="AF21" s="252" t="s">
        <v>966</v>
      </c>
      <c r="AG21" s="252">
        <v>0</v>
      </c>
      <c r="AH21" s="321">
        <v>8372114</v>
      </c>
      <c r="AI21" s="180">
        <v>7439976</v>
      </c>
      <c r="AL21" s="351" t="s">
        <v>1057</v>
      </c>
      <c r="AM21" s="192">
        <f t="shared" si="1"/>
        <v>237</v>
      </c>
      <c r="AN21" s="18">
        <v>2</v>
      </c>
    </row>
    <row r="22" spans="1:40" s="18" customFormat="1" ht="24.95" customHeight="1">
      <c r="A22" s="243" t="s">
        <v>84</v>
      </c>
      <c r="B22" s="243" t="s">
        <v>83</v>
      </c>
      <c r="C22" s="243" t="s">
        <v>478</v>
      </c>
      <c r="D22" s="245" t="s">
        <v>527</v>
      </c>
      <c r="E22" s="205" t="s">
        <v>77</v>
      </c>
      <c r="F22" s="245" t="s">
        <v>526</v>
      </c>
      <c r="G22" s="243" t="s">
        <v>78</v>
      </c>
      <c r="H22" s="243" t="s">
        <v>15</v>
      </c>
      <c r="I22" s="246" t="s">
        <v>681</v>
      </c>
      <c r="J22" s="245">
        <v>6.9999999999999982</v>
      </c>
      <c r="K22" s="253" t="s">
        <v>32</v>
      </c>
      <c r="L22" s="245">
        <v>7</v>
      </c>
      <c r="M22" s="245">
        <v>71</v>
      </c>
      <c r="N22" s="243" t="s">
        <v>79</v>
      </c>
      <c r="O22" s="243" t="s">
        <v>80</v>
      </c>
      <c r="P22" s="243" t="s">
        <v>16</v>
      </c>
      <c r="Q22" s="245">
        <v>1980</v>
      </c>
      <c r="R22" s="243" t="s">
        <v>81</v>
      </c>
      <c r="S22" s="243" t="s">
        <v>82</v>
      </c>
      <c r="T22" s="245">
        <v>287.68556257306193</v>
      </c>
      <c r="U22" s="55" t="s">
        <v>477</v>
      </c>
      <c r="V22" s="45" t="s">
        <v>636</v>
      </c>
      <c r="W22" s="18" t="s">
        <v>684</v>
      </c>
      <c r="X22" s="251" t="s">
        <v>946</v>
      </c>
      <c r="Y22" s="280" t="s">
        <v>972</v>
      </c>
      <c r="Z22" s="243">
        <v>71</v>
      </c>
      <c r="AA22" s="243"/>
      <c r="AB22" s="244"/>
      <c r="AC22" s="252" t="str">
        <f t="shared" si="2"/>
        <v>3828811</v>
      </c>
      <c r="AD22" s="252"/>
      <c r="AE22" s="243">
        <v>71</v>
      </c>
      <c r="AF22" s="252" t="s">
        <v>966</v>
      </c>
      <c r="AG22" s="252">
        <v>0.30690000000000001</v>
      </c>
      <c r="AH22" s="281">
        <v>8372214</v>
      </c>
      <c r="AI22" s="180">
        <v>7439976</v>
      </c>
      <c r="AL22" s="351" t="s">
        <v>1057</v>
      </c>
      <c r="AM22" s="192">
        <f t="shared" si="1"/>
        <v>237</v>
      </c>
      <c r="AN22" s="18">
        <v>2</v>
      </c>
    </row>
    <row r="23" spans="1:40" s="18" customFormat="1" ht="24.95" customHeight="1">
      <c r="A23" s="243" t="s">
        <v>84</v>
      </c>
      <c r="B23" s="243" t="s">
        <v>83</v>
      </c>
      <c r="C23" s="243" t="s">
        <v>478</v>
      </c>
      <c r="D23" s="245" t="s">
        <v>527</v>
      </c>
      <c r="E23" s="205" t="s">
        <v>77</v>
      </c>
      <c r="F23" s="245" t="s">
        <v>526</v>
      </c>
      <c r="G23" s="243" t="s">
        <v>78</v>
      </c>
      <c r="H23" s="243" t="s">
        <v>15</v>
      </c>
      <c r="I23" s="246" t="s">
        <v>681</v>
      </c>
      <c r="J23" s="245">
        <v>6.9999999999999982</v>
      </c>
      <c r="K23" s="253" t="s">
        <v>32</v>
      </c>
      <c r="L23" s="245">
        <v>7</v>
      </c>
      <c r="M23" s="245">
        <v>71</v>
      </c>
      <c r="N23" s="243" t="s">
        <v>79</v>
      </c>
      <c r="O23" s="243" t="s">
        <v>80</v>
      </c>
      <c r="P23" s="243" t="s">
        <v>16</v>
      </c>
      <c r="Q23" s="245">
        <v>1980</v>
      </c>
      <c r="R23" s="243" t="s">
        <v>81</v>
      </c>
      <c r="S23" s="243" t="s">
        <v>82</v>
      </c>
      <c r="T23" s="245">
        <v>287.68556257306193</v>
      </c>
      <c r="U23" s="55" t="s">
        <v>477</v>
      </c>
      <c r="V23" s="45" t="s">
        <v>636</v>
      </c>
      <c r="W23" s="18" t="s">
        <v>684</v>
      </c>
      <c r="X23" s="251" t="s">
        <v>946</v>
      </c>
      <c r="Y23" s="280" t="s">
        <v>972</v>
      </c>
      <c r="Z23" s="243">
        <v>71</v>
      </c>
      <c r="AA23" s="243"/>
      <c r="AB23" s="244"/>
      <c r="AC23" s="252" t="str">
        <f t="shared" si="2"/>
        <v>3828811</v>
      </c>
      <c r="AD23" s="252"/>
      <c r="AE23" s="243">
        <v>71</v>
      </c>
      <c r="AF23" s="252" t="s">
        <v>966</v>
      </c>
      <c r="AG23" s="252">
        <v>5.7799999999999997E-2</v>
      </c>
      <c r="AH23" s="281">
        <v>8372314</v>
      </c>
      <c r="AI23" s="180">
        <v>7439976</v>
      </c>
      <c r="AL23" s="351" t="s">
        <v>1057</v>
      </c>
      <c r="AM23" s="192">
        <f t="shared" si="1"/>
        <v>237</v>
      </c>
      <c r="AN23" s="18">
        <v>2</v>
      </c>
    </row>
    <row r="24" spans="1:40" s="18" customFormat="1" ht="24.95" customHeight="1">
      <c r="A24" s="243" t="s">
        <v>84</v>
      </c>
      <c r="B24" s="243" t="s">
        <v>83</v>
      </c>
      <c r="C24" s="243" t="s">
        <v>478</v>
      </c>
      <c r="D24" s="245" t="s">
        <v>527</v>
      </c>
      <c r="E24" s="205" t="s">
        <v>77</v>
      </c>
      <c r="F24" s="245" t="s">
        <v>526</v>
      </c>
      <c r="G24" s="243" t="s">
        <v>78</v>
      </c>
      <c r="H24" s="243" t="s">
        <v>15</v>
      </c>
      <c r="I24" s="246" t="s">
        <v>681</v>
      </c>
      <c r="J24" s="245">
        <v>6.9999999999999982</v>
      </c>
      <c r="K24" s="253" t="s">
        <v>32</v>
      </c>
      <c r="L24" s="245">
        <v>7</v>
      </c>
      <c r="M24" s="245">
        <v>71</v>
      </c>
      <c r="N24" s="243" t="s">
        <v>79</v>
      </c>
      <c r="O24" s="243" t="s">
        <v>80</v>
      </c>
      <c r="P24" s="243" t="s">
        <v>16</v>
      </c>
      <c r="Q24" s="245">
        <v>1980</v>
      </c>
      <c r="R24" s="243" t="s">
        <v>81</v>
      </c>
      <c r="S24" s="243" t="s">
        <v>82</v>
      </c>
      <c r="T24" s="245">
        <v>287.68556257306193</v>
      </c>
      <c r="U24" s="55" t="s">
        <v>477</v>
      </c>
      <c r="V24" s="45" t="s">
        <v>636</v>
      </c>
      <c r="W24" s="18" t="s">
        <v>684</v>
      </c>
      <c r="X24" s="251" t="s">
        <v>946</v>
      </c>
      <c r="Y24" s="280" t="s">
        <v>972</v>
      </c>
      <c r="Z24" s="243">
        <v>71</v>
      </c>
      <c r="AA24" s="243"/>
      <c r="AB24" s="244"/>
      <c r="AC24" s="252" t="str">
        <f t="shared" si="2"/>
        <v>3828811</v>
      </c>
      <c r="AD24" s="252"/>
      <c r="AE24" s="243">
        <v>71</v>
      </c>
      <c r="AF24" s="252" t="s">
        <v>966</v>
      </c>
      <c r="AG24" s="252">
        <v>0</v>
      </c>
      <c r="AH24" s="281">
        <v>8372414</v>
      </c>
      <c r="AI24" s="180">
        <v>7439976</v>
      </c>
      <c r="AL24" s="351" t="s">
        <v>1057</v>
      </c>
      <c r="AM24" s="192">
        <f t="shared" si="1"/>
        <v>237</v>
      </c>
      <c r="AN24" s="18">
        <v>2</v>
      </c>
    </row>
    <row r="25" spans="1:40" s="18" customFormat="1" ht="24.95" customHeight="1">
      <c r="A25" s="243" t="s">
        <v>84</v>
      </c>
      <c r="B25" s="243" t="s">
        <v>83</v>
      </c>
      <c r="C25" s="243" t="s">
        <v>478</v>
      </c>
      <c r="D25" s="245" t="s">
        <v>527</v>
      </c>
      <c r="E25" s="205" t="s">
        <v>77</v>
      </c>
      <c r="F25" s="245" t="s">
        <v>526</v>
      </c>
      <c r="G25" s="243" t="s">
        <v>78</v>
      </c>
      <c r="H25" s="243" t="s">
        <v>15</v>
      </c>
      <c r="I25" s="246" t="s">
        <v>681</v>
      </c>
      <c r="J25" s="245">
        <v>6.9999999999999982</v>
      </c>
      <c r="K25" s="253" t="s">
        <v>32</v>
      </c>
      <c r="L25" s="245">
        <v>7</v>
      </c>
      <c r="M25" s="245">
        <v>71</v>
      </c>
      <c r="N25" s="243" t="s">
        <v>79</v>
      </c>
      <c r="O25" s="243" t="s">
        <v>80</v>
      </c>
      <c r="P25" s="243" t="s">
        <v>16</v>
      </c>
      <c r="Q25" s="245">
        <v>1980</v>
      </c>
      <c r="R25" s="243" t="s">
        <v>81</v>
      </c>
      <c r="S25" s="243" t="s">
        <v>82</v>
      </c>
      <c r="T25" s="245">
        <v>287.68556257306193</v>
      </c>
      <c r="U25" s="55" t="s">
        <v>477</v>
      </c>
      <c r="V25" s="45" t="s">
        <v>636</v>
      </c>
      <c r="W25" s="18" t="s">
        <v>684</v>
      </c>
      <c r="X25" s="251" t="s">
        <v>946</v>
      </c>
      <c r="Y25" s="280" t="s">
        <v>972</v>
      </c>
      <c r="Z25" s="243">
        <v>71</v>
      </c>
      <c r="AA25" s="243"/>
      <c r="AB25" s="244"/>
      <c r="AC25" s="252" t="str">
        <f t="shared" si="2"/>
        <v>3828811</v>
      </c>
      <c r="AD25" s="252"/>
      <c r="AE25" s="243">
        <v>71</v>
      </c>
      <c r="AF25" s="252" t="s">
        <v>966</v>
      </c>
      <c r="AG25" s="252">
        <v>0.49199999999999999</v>
      </c>
      <c r="AH25" s="281">
        <v>8372514</v>
      </c>
      <c r="AI25" s="180">
        <v>7439976</v>
      </c>
      <c r="AL25" s="351" t="s">
        <v>1057</v>
      </c>
      <c r="AM25" s="192">
        <f t="shared" si="1"/>
        <v>237</v>
      </c>
      <c r="AN25" s="18">
        <v>2</v>
      </c>
    </row>
    <row r="26" spans="1:40" s="18" customFormat="1" ht="24.95" customHeight="1">
      <c r="A26" s="243" t="s">
        <v>84</v>
      </c>
      <c r="B26" s="243" t="s">
        <v>83</v>
      </c>
      <c r="C26" s="243" t="s">
        <v>478</v>
      </c>
      <c r="D26" s="245" t="s">
        <v>527</v>
      </c>
      <c r="E26" s="205" t="s">
        <v>77</v>
      </c>
      <c r="F26" s="245" t="s">
        <v>526</v>
      </c>
      <c r="G26" s="243" t="s">
        <v>78</v>
      </c>
      <c r="H26" s="243" t="s">
        <v>15</v>
      </c>
      <c r="I26" s="246" t="s">
        <v>681</v>
      </c>
      <c r="J26" s="245">
        <v>6.9999999999999982</v>
      </c>
      <c r="K26" s="253" t="s">
        <v>32</v>
      </c>
      <c r="L26" s="245">
        <v>7</v>
      </c>
      <c r="M26" s="245">
        <v>71</v>
      </c>
      <c r="N26" s="243" t="s">
        <v>79</v>
      </c>
      <c r="O26" s="243" t="s">
        <v>80</v>
      </c>
      <c r="P26" s="243" t="s">
        <v>16</v>
      </c>
      <c r="Q26" s="245">
        <v>1980</v>
      </c>
      <c r="R26" s="243" t="s">
        <v>81</v>
      </c>
      <c r="S26" s="243" t="s">
        <v>82</v>
      </c>
      <c r="T26" s="245">
        <v>287.68556257306193</v>
      </c>
      <c r="U26" s="55" t="s">
        <v>477</v>
      </c>
      <c r="V26" s="45" t="s">
        <v>636</v>
      </c>
      <c r="W26" s="18" t="s">
        <v>684</v>
      </c>
      <c r="X26" s="251" t="s">
        <v>946</v>
      </c>
      <c r="Y26" s="280" t="s">
        <v>972</v>
      </c>
      <c r="Z26" s="243">
        <v>71</v>
      </c>
      <c r="AA26" s="243"/>
      <c r="AB26" s="244"/>
      <c r="AC26" s="252" t="str">
        <f t="shared" si="2"/>
        <v>3828811</v>
      </c>
      <c r="AD26" s="252"/>
      <c r="AE26" s="243">
        <v>71</v>
      </c>
      <c r="AF26" s="252" t="s">
        <v>808</v>
      </c>
      <c r="AG26" s="252">
        <v>0.14330000000000001</v>
      </c>
      <c r="AH26" s="321">
        <v>8371914</v>
      </c>
      <c r="AI26" s="180">
        <v>7439976</v>
      </c>
      <c r="AL26" s="351" t="s">
        <v>1057</v>
      </c>
      <c r="AM26" s="192">
        <f t="shared" si="1"/>
        <v>237</v>
      </c>
      <c r="AN26" s="18">
        <v>2</v>
      </c>
    </row>
    <row r="27" spans="1:40" s="18" customFormat="1" ht="24.95" customHeight="1">
      <c r="A27" s="243" t="s">
        <v>84</v>
      </c>
      <c r="B27" s="243" t="s">
        <v>83</v>
      </c>
      <c r="C27" s="243" t="s">
        <v>478</v>
      </c>
      <c r="D27" s="245" t="s">
        <v>527</v>
      </c>
      <c r="E27" s="205" t="s">
        <v>77</v>
      </c>
      <c r="F27" s="245" t="s">
        <v>526</v>
      </c>
      <c r="G27" s="243" t="s">
        <v>78</v>
      </c>
      <c r="H27" s="243" t="s">
        <v>15</v>
      </c>
      <c r="I27" s="246" t="s">
        <v>681</v>
      </c>
      <c r="J27" s="245">
        <v>6.9999999999999982</v>
      </c>
      <c r="K27" s="253" t="s">
        <v>32</v>
      </c>
      <c r="L27" s="245">
        <v>7</v>
      </c>
      <c r="M27" s="245">
        <v>71</v>
      </c>
      <c r="N27" s="243" t="s">
        <v>79</v>
      </c>
      <c r="O27" s="243" t="s">
        <v>80</v>
      </c>
      <c r="P27" s="243" t="s">
        <v>16</v>
      </c>
      <c r="Q27" s="245">
        <v>1980</v>
      </c>
      <c r="R27" s="243" t="s">
        <v>81</v>
      </c>
      <c r="S27" s="243" t="s">
        <v>82</v>
      </c>
      <c r="T27" s="245">
        <v>287.68556257306193</v>
      </c>
      <c r="U27" s="55" t="s">
        <v>477</v>
      </c>
      <c r="V27" s="45" t="s">
        <v>636</v>
      </c>
      <c r="W27" s="18" t="s">
        <v>684</v>
      </c>
      <c r="X27" s="251" t="s">
        <v>946</v>
      </c>
      <c r="Y27" s="280" t="s">
        <v>972</v>
      </c>
      <c r="Z27" s="243">
        <v>71</v>
      </c>
      <c r="AA27" s="243"/>
      <c r="AB27" s="244"/>
      <c r="AC27" s="252" t="str">
        <f t="shared" si="2"/>
        <v>3828811</v>
      </c>
      <c r="AD27" s="252"/>
      <c r="AE27" s="243">
        <v>71</v>
      </c>
      <c r="AF27" s="252" t="s">
        <v>808</v>
      </c>
      <c r="AG27" s="252">
        <v>0</v>
      </c>
      <c r="AH27" s="321">
        <v>8372014</v>
      </c>
      <c r="AI27" s="180">
        <v>7439976</v>
      </c>
      <c r="AL27" s="351" t="s">
        <v>1057</v>
      </c>
      <c r="AM27" s="192">
        <f t="shared" si="1"/>
        <v>237</v>
      </c>
      <c r="AN27" s="18">
        <v>2</v>
      </c>
    </row>
    <row r="28" spans="1:40" s="18" customFormat="1" ht="24.95" customHeight="1">
      <c r="A28" s="243" t="s">
        <v>84</v>
      </c>
      <c r="B28" s="243" t="s">
        <v>83</v>
      </c>
      <c r="C28" s="243" t="s">
        <v>478</v>
      </c>
      <c r="D28" s="245" t="s">
        <v>527</v>
      </c>
      <c r="E28" s="205" t="s">
        <v>77</v>
      </c>
      <c r="F28" s="245" t="s">
        <v>526</v>
      </c>
      <c r="G28" s="243" t="s">
        <v>78</v>
      </c>
      <c r="H28" s="243" t="s">
        <v>15</v>
      </c>
      <c r="I28" s="246" t="s">
        <v>681</v>
      </c>
      <c r="J28" s="245">
        <v>6.9999999999999982</v>
      </c>
      <c r="K28" s="253" t="s">
        <v>32</v>
      </c>
      <c r="L28" s="245">
        <v>7</v>
      </c>
      <c r="M28" s="245">
        <v>71</v>
      </c>
      <c r="N28" s="243" t="s">
        <v>79</v>
      </c>
      <c r="O28" s="243" t="s">
        <v>80</v>
      </c>
      <c r="P28" s="243" t="s">
        <v>16</v>
      </c>
      <c r="Q28" s="245">
        <v>1980</v>
      </c>
      <c r="R28" s="243" t="s">
        <v>81</v>
      </c>
      <c r="S28" s="243" t="s">
        <v>82</v>
      </c>
      <c r="T28" s="245">
        <v>287.68556257306193</v>
      </c>
      <c r="U28" s="55" t="s">
        <v>477</v>
      </c>
      <c r="V28" s="45" t="s">
        <v>636</v>
      </c>
      <c r="W28" s="18" t="s">
        <v>684</v>
      </c>
      <c r="X28" s="251" t="s">
        <v>946</v>
      </c>
      <c r="Y28" s="280" t="s">
        <v>972</v>
      </c>
      <c r="Z28" s="243">
        <v>71</v>
      </c>
      <c r="AA28" s="243"/>
      <c r="AB28" s="244"/>
      <c r="AC28" s="252" t="str">
        <f>E28</f>
        <v>3828811</v>
      </c>
      <c r="AD28" s="252"/>
      <c r="AE28" s="243">
        <v>71</v>
      </c>
      <c r="AF28" s="252" t="s">
        <v>808</v>
      </c>
      <c r="AG28" s="252">
        <v>0</v>
      </c>
      <c r="AH28" s="321">
        <v>8372114</v>
      </c>
      <c r="AI28" s="180">
        <v>7439976</v>
      </c>
      <c r="AL28" s="351" t="s">
        <v>1057</v>
      </c>
      <c r="AM28" s="192">
        <f t="shared" si="1"/>
        <v>237</v>
      </c>
      <c r="AN28" s="18">
        <v>2</v>
      </c>
    </row>
    <row r="29" spans="1:40" s="18" customFormat="1" ht="24.95" customHeight="1">
      <c r="A29" s="243" t="s">
        <v>84</v>
      </c>
      <c r="B29" s="243" t="s">
        <v>83</v>
      </c>
      <c r="C29" s="243" t="s">
        <v>478</v>
      </c>
      <c r="D29" s="245" t="s">
        <v>527</v>
      </c>
      <c r="E29" s="205" t="s">
        <v>77</v>
      </c>
      <c r="F29" s="245" t="s">
        <v>526</v>
      </c>
      <c r="G29" s="243" t="s">
        <v>78</v>
      </c>
      <c r="H29" s="243" t="s">
        <v>15</v>
      </c>
      <c r="I29" s="246" t="s">
        <v>681</v>
      </c>
      <c r="J29" s="245">
        <v>6.9999999999999982</v>
      </c>
      <c r="K29" s="253" t="s">
        <v>32</v>
      </c>
      <c r="L29" s="245">
        <v>7</v>
      </c>
      <c r="M29" s="245">
        <v>71</v>
      </c>
      <c r="N29" s="243" t="s">
        <v>79</v>
      </c>
      <c r="O29" s="243" t="s">
        <v>80</v>
      </c>
      <c r="P29" s="243" t="s">
        <v>16</v>
      </c>
      <c r="Q29" s="245">
        <v>1980</v>
      </c>
      <c r="R29" s="243" t="s">
        <v>81</v>
      </c>
      <c r="S29" s="243" t="s">
        <v>82</v>
      </c>
      <c r="T29" s="245">
        <v>287.68556257306193</v>
      </c>
      <c r="U29" s="55" t="s">
        <v>477</v>
      </c>
      <c r="V29" s="45" t="s">
        <v>636</v>
      </c>
      <c r="W29" s="18" t="s">
        <v>684</v>
      </c>
      <c r="X29" s="251" t="s">
        <v>946</v>
      </c>
      <c r="Y29" s="280" t="s">
        <v>972</v>
      </c>
      <c r="Z29" s="243">
        <v>71</v>
      </c>
      <c r="AA29" s="243"/>
      <c r="AB29" s="244"/>
      <c r="AC29" s="252" t="str">
        <f>E29</f>
        <v>3828811</v>
      </c>
      <c r="AD29" s="252"/>
      <c r="AE29" s="243">
        <v>71</v>
      </c>
      <c r="AF29" s="252" t="s">
        <v>808</v>
      </c>
      <c r="AG29" s="252">
        <v>0.30690000000000001</v>
      </c>
      <c r="AH29" s="281">
        <v>8372214</v>
      </c>
      <c r="AI29" s="180">
        <v>7439976</v>
      </c>
      <c r="AL29" s="351" t="s">
        <v>1057</v>
      </c>
      <c r="AM29" s="192">
        <f t="shared" si="1"/>
        <v>237</v>
      </c>
      <c r="AN29" s="18">
        <v>2</v>
      </c>
    </row>
    <row r="30" spans="1:40" s="18" customFormat="1" ht="24.95" customHeight="1">
      <c r="A30" s="243" t="s">
        <v>84</v>
      </c>
      <c r="B30" s="243" t="s">
        <v>83</v>
      </c>
      <c r="C30" s="243" t="s">
        <v>478</v>
      </c>
      <c r="D30" s="245" t="s">
        <v>527</v>
      </c>
      <c r="E30" s="205" t="s">
        <v>77</v>
      </c>
      <c r="F30" s="245" t="s">
        <v>526</v>
      </c>
      <c r="G30" s="243" t="s">
        <v>78</v>
      </c>
      <c r="H30" s="243" t="s">
        <v>15</v>
      </c>
      <c r="I30" s="246" t="s">
        <v>681</v>
      </c>
      <c r="J30" s="245">
        <v>6.9999999999999982</v>
      </c>
      <c r="K30" s="253" t="s">
        <v>32</v>
      </c>
      <c r="L30" s="245">
        <v>7</v>
      </c>
      <c r="M30" s="245">
        <v>71</v>
      </c>
      <c r="N30" s="243" t="s">
        <v>79</v>
      </c>
      <c r="O30" s="243" t="s">
        <v>80</v>
      </c>
      <c r="P30" s="243" t="s">
        <v>16</v>
      </c>
      <c r="Q30" s="245">
        <v>1980</v>
      </c>
      <c r="R30" s="243" t="s">
        <v>81</v>
      </c>
      <c r="S30" s="243" t="s">
        <v>82</v>
      </c>
      <c r="T30" s="245">
        <v>287.68556257306193</v>
      </c>
      <c r="U30" s="55" t="s">
        <v>477</v>
      </c>
      <c r="V30" s="45" t="s">
        <v>636</v>
      </c>
      <c r="W30" s="18" t="s">
        <v>684</v>
      </c>
      <c r="X30" s="251" t="s">
        <v>946</v>
      </c>
      <c r="Y30" s="280" t="s">
        <v>972</v>
      </c>
      <c r="Z30" s="243">
        <v>71</v>
      </c>
      <c r="AA30" s="243"/>
      <c r="AB30" s="244"/>
      <c r="AC30" s="252" t="str">
        <f>E30</f>
        <v>3828811</v>
      </c>
      <c r="AD30" s="252"/>
      <c r="AE30" s="243">
        <v>71</v>
      </c>
      <c r="AF30" s="252" t="s">
        <v>808</v>
      </c>
      <c r="AG30" s="252">
        <v>5.7799999999999997E-2</v>
      </c>
      <c r="AH30" s="281">
        <v>8372314</v>
      </c>
      <c r="AI30" s="180">
        <v>7439976</v>
      </c>
      <c r="AL30" s="351" t="s">
        <v>1057</v>
      </c>
      <c r="AM30" s="192">
        <f t="shared" si="1"/>
        <v>237</v>
      </c>
      <c r="AN30" s="18">
        <v>2</v>
      </c>
    </row>
    <row r="31" spans="1:40" s="18" customFormat="1" ht="24.95" customHeight="1">
      <c r="A31" s="243" t="s">
        <v>84</v>
      </c>
      <c r="B31" s="243" t="s">
        <v>83</v>
      </c>
      <c r="C31" s="243" t="s">
        <v>478</v>
      </c>
      <c r="D31" s="245" t="s">
        <v>527</v>
      </c>
      <c r="E31" s="205" t="s">
        <v>77</v>
      </c>
      <c r="F31" s="245" t="s">
        <v>526</v>
      </c>
      <c r="G31" s="243" t="s">
        <v>78</v>
      </c>
      <c r="H31" s="243" t="s">
        <v>15</v>
      </c>
      <c r="I31" s="246" t="s">
        <v>681</v>
      </c>
      <c r="J31" s="245">
        <v>6.9999999999999982</v>
      </c>
      <c r="K31" s="253" t="s">
        <v>32</v>
      </c>
      <c r="L31" s="245">
        <v>7</v>
      </c>
      <c r="M31" s="245">
        <v>71</v>
      </c>
      <c r="N31" s="243" t="s">
        <v>79</v>
      </c>
      <c r="O31" s="243" t="s">
        <v>80</v>
      </c>
      <c r="P31" s="243" t="s">
        <v>16</v>
      </c>
      <c r="Q31" s="245">
        <v>1980</v>
      </c>
      <c r="R31" s="243" t="s">
        <v>81</v>
      </c>
      <c r="S31" s="243" t="s">
        <v>82</v>
      </c>
      <c r="T31" s="245">
        <v>287.68556257306193</v>
      </c>
      <c r="U31" s="55" t="s">
        <v>477</v>
      </c>
      <c r="V31" s="45" t="s">
        <v>636</v>
      </c>
      <c r="W31" s="18" t="s">
        <v>684</v>
      </c>
      <c r="X31" s="251" t="s">
        <v>946</v>
      </c>
      <c r="Y31" s="280" t="s">
        <v>972</v>
      </c>
      <c r="Z31" s="243">
        <v>71</v>
      </c>
      <c r="AA31" s="243"/>
      <c r="AB31" s="244"/>
      <c r="AC31" s="252" t="str">
        <f>E31</f>
        <v>3828811</v>
      </c>
      <c r="AD31" s="252"/>
      <c r="AE31" s="243">
        <v>71</v>
      </c>
      <c r="AF31" s="252" t="s">
        <v>808</v>
      </c>
      <c r="AG31" s="252">
        <v>0</v>
      </c>
      <c r="AH31" s="281">
        <v>8372414</v>
      </c>
      <c r="AI31" s="180">
        <v>7439976</v>
      </c>
      <c r="AL31" s="351" t="s">
        <v>1057</v>
      </c>
      <c r="AM31" s="192">
        <f t="shared" si="1"/>
        <v>237</v>
      </c>
      <c r="AN31" s="18">
        <v>2</v>
      </c>
    </row>
    <row r="32" spans="1:40" s="18" customFormat="1" ht="24.95" customHeight="1">
      <c r="A32" s="243" t="s">
        <v>84</v>
      </c>
      <c r="B32" s="243" t="s">
        <v>83</v>
      </c>
      <c r="C32" s="243" t="s">
        <v>478</v>
      </c>
      <c r="D32" s="245" t="s">
        <v>527</v>
      </c>
      <c r="E32" s="205" t="s">
        <v>77</v>
      </c>
      <c r="F32" s="245" t="s">
        <v>526</v>
      </c>
      <c r="G32" s="243" t="s">
        <v>78</v>
      </c>
      <c r="H32" s="243" t="s">
        <v>15</v>
      </c>
      <c r="I32" s="246" t="s">
        <v>681</v>
      </c>
      <c r="J32" s="245">
        <v>6.9999999999999982</v>
      </c>
      <c r="K32" s="253" t="s">
        <v>32</v>
      </c>
      <c r="L32" s="245">
        <v>7</v>
      </c>
      <c r="M32" s="245">
        <v>71</v>
      </c>
      <c r="N32" s="243" t="s">
        <v>79</v>
      </c>
      <c r="O32" s="243" t="s">
        <v>80</v>
      </c>
      <c r="P32" s="243" t="s">
        <v>16</v>
      </c>
      <c r="Q32" s="245">
        <v>1980</v>
      </c>
      <c r="R32" s="243" t="s">
        <v>81</v>
      </c>
      <c r="S32" s="243" t="s">
        <v>82</v>
      </c>
      <c r="T32" s="245">
        <v>287.68556257306193</v>
      </c>
      <c r="U32" s="55" t="s">
        <v>477</v>
      </c>
      <c r="V32" s="45" t="s">
        <v>636</v>
      </c>
      <c r="W32" s="18" t="s">
        <v>684</v>
      </c>
      <c r="X32" s="251" t="s">
        <v>946</v>
      </c>
      <c r="Y32" s="280" t="s">
        <v>972</v>
      </c>
      <c r="Z32" s="243">
        <v>71</v>
      </c>
      <c r="AA32" s="243"/>
      <c r="AB32" s="244"/>
      <c r="AC32" s="252" t="str">
        <f>E32</f>
        <v>3828811</v>
      </c>
      <c r="AD32" s="252"/>
      <c r="AE32" s="243">
        <v>71</v>
      </c>
      <c r="AF32" s="252" t="s">
        <v>808</v>
      </c>
      <c r="AG32" s="252">
        <v>0.49199999999999999</v>
      </c>
      <c r="AH32" s="281">
        <v>8372514</v>
      </c>
      <c r="AI32" s="180">
        <v>7439976</v>
      </c>
      <c r="AL32" s="351" t="s">
        <v>1057</v>
      </c>
      <c r="AM32" s="192">
        <f t="shared" si="1"/>
        <v>237</v>
      </c>
      <c r="AN32" s="18">
        <v>2</v>
      </c>
    </row>
    <row r="33" spans="1:42" s="18" customFormat="1" ht="24.95" customHeight="1">
      <c r="A33" s="243" t="s">
        <v>84</v>
      </c>
      <c r="B33" s="243" t="s">
        <v>83</v>
      </c>
      <c r="C33" s="243" t="s">
        <v>478</v>
      </c>
      <c r="D33" s="245" t="s">
        <v>527</v>
      </c>
      <c r="E33" s="205" t="s">
        <v>77</v>
      </c>
      <c r="F33" s="245" t="s">
        <v>526</v>
      </c>
      <c r="G33" s="243" t="s">
        <v>78</v>
      </c>
      <c r="H33" s="243" t="s">
        <v>15</v>
      </c>
      <c r="I33" s="246" t="s">
        <v>681</v>
      </c>
      <c r="J33" s="245">
        <v>6.9999999999999982</v>
      </c>
      <c r="K33" s="253" t="s">
        <v>32</v>
      </c>
      <c r="L33" s="245">
        <v>7</v>
      </c>
      <c r="M33" s="245">
        <v>71</v>
      </c>
      <c r="N33" s="243" t="s">
        <v>79</v>
      </c>
      <c r="O33" s="243" t="s">
        <v>80</v>
      </c>
      <c r="P33" s="243" t="s">
        <v>16</v>
      </c>
      <c r="Q33" s="245">
        <v>1980</v>
      </c>
      <c r="R33" s="243" t="s">
        <v>81</v>
      </c>
      <c r="S33" s="243" t="s">
        <v>82</v>
      </c>
      <c r="T33" s="245">
        <v>287.68556257306193</v>
      </c>
      <c r="U33" s="55" t="s">
        <v>477</v>
      </c>
      <c r="V33" s="45" t="s">
        <v>636</v>
      </c>
      <c r="W33" s="18" t="s">
        <v>684</v>
      </c>
      <c r="X33" s="251" t="s">
        <v>946</v>
      </c>
      <c r="Y33" s="280" t="s">
        <v>972</v>
      </c>
      <c r="Z33" s="243">
        <v>71</v>
      </c>
      <c r="AA33" s="243"/>
      <c r="AB33" s="244"/>
      <c r="AC33" s="252" t="str">
        <f t="shared" ref="AC33:AC34" si="3">E33</f>
        <v>3828811</v>
      </c>
      <c r="AD33" s="252"/>
      <c r="AE33" s="243">
        <v>71</v>
      </c>
      <c r="AF33" s="252" t="s">
        <v>811</v>
      </c>
      <c r="AG33" s="252">
        <v>0.14330000000000001</v>
      </c>
      <c r="AH33" s="321">
        <v>8371914</v>
      </c>
      <c r="AI33" s="180">
        <v>7439976</v>
      </c>
      <c r="AL33" s="328" t="s">
        <v>1051</v>
      </c>
      <c r="AM33" s="192">
        <f t="shared" ref="AM33:AM39" si="4">LEN(AL33)</f>
        <v>223</v>
      </c>
      <c r="AN33" s="18">
        <v>10</v>
      </c>
    </row>
    <row r="34" spans="1:42" s="18" customFormat="1" ht="24.95" customHeight="1">
      <c r="A34" s="243" t="s">
        <v>84</v>
      </c>
      <c r="B34" s="243" t="s">
        <v>83</v>
      </c>
      <c r="C34" s="243" t="s">
        <v>478</v>
      </c>
      <c r="D34" s="245" t="s">
        <v>527</v>
      </c>
      <c r="E34" s="205" t="s">
        <v>77</v>
      </c>
      <c r="F34" s="245" t="s">
        <v>526</v>
      </c>
      <c r="G34" s="243" t="s">
        <v>78</v>
      </c>
      <c r="H34" s="243" t="s">
        <v>15</v>
      </c>
      <c r="I34" s="246" t="s">
        <v>681</v>
      </c>
      <c r="J34" s="245">
        <v>6.9999999999999982</v>
      </c>
      <c r="K34" s="253" t="s">
        <v>32</v>
      </c>
      <c r="L34" s="245">
        <v>7</v>
      </c>
      <c r="M34" s="245">
        <v>71</v>
      </c>
      <c r="N34" s="243" t="s">
        <v>79</v>
      </c>
      <c r="O34" s="243" t="s">
        <v>80</v>
      </c>
      <c r="P34" s="243" t="s">
        <v>16</v>
      </c>
      <c r="Q34" s="245">
        <v>1980</v>
      </c>
      <c r="R34" s="243" t="s">
        <v>81</v>
      </c>
      <c r="S34" s="243" t="s">
        <v>82</v>
      </c>
      <c r="T34" s="245">
        <v>287.68556257306193</v>
      </c>
      <c r="U34" s="55" t="s">
        <v>477</v>
      </c>
      <c r="V34" s="45" t="s">
        <v>636</v>
      </c>
      <c r="W34" s="18" t="s">
        <v>684</v>
      </c>
      <c r="X34" s="251" t="s">
        <v>946</v>
      </c>
      <c r="Y34" s="280" t="s">
        <v>972</v>
      </c>
      <c r="Z34" s="243">
        <v>71</v>
      </c>
      <c r="AA34" s="243"/>
      <c r="AB34" s="244"/>
      <c r="AC34" s="252" t="str">
        <f t="shared" si="3"/>
        <v>3828811</v>
      </c>
      <c r="AD34" s="252"/>
      <c r="AE34" s="243">
        <v>71</v>
      </c>
      <c r="AF34" s="252" t="s">
        <v>811</v>
      </c>
      <c r="AG34" s="252">
        <v>0</v>
      </c>
      <c r="AH34" s="321">
        <v>8372014</v>
      </c>
      <c r="AI34" s="180">
        <v>7439976</v>
      </c>
      <c r="AL34" s="328" t="s">
        <v>1051</v>
      </c>
      <c r="AM34" s="192">
        <f t="shared" si="4"/>
        <v>223</v>
      </c>
      <c r="AN34" s="18">
        <v>10</v>
      </c>
    </row>
    <row r="35" spans="1:42" s="18" customFormat="1" ht="24.95" customHeight="1">
      <c r="A35" s="243" t="s">
        <v>84</v>
      </c>
      <c r="B35" s="243" t="s">
        <v>83</v>
      </c>
      <c r="C35" s="243" t="s">
        <v>478</v>
      </c>
      <c r="D35" s="245" t="s">
        <v>527</v>
      </c>
      <c r="E35" s="205" t="s">
        <v>77</v>
      </c>
      <c r="F35" s="245" t="s">
        <v>526</v>
      </c>
      <c r="G35" s="243" t="s">
        <v>78</v>
      </c>
      <c r="H35" s="243" t="s">
        <v>15</v>
      </c>
      <c r="I35" s="246" t="s">
        <v>681</v>
      </c>
      <c r="J35" s="245">
        <v>6.9999999999999982</v>
      </c>
      <c r="K35" s="253" t="s">
        <v>32</v>
      </c>
      <c r="L35" s="245">
        <v>7</v>
      </c>
      <c r="M35" s="245">
        <v>71</v>
      </c>
      <c r="N35" s="243" t="s">
        <v>79</v>
      </c>
      <c r="O35" s="243" t="s">
        <v>80</v>
      </c>
      <c r="P35" s="243" t="s">
        <v>16</v>
      </c>
      <c r="Q35" s="245">
        <v>1980</v>
      </c>
      <c r="R35" s="243" t="s">
        <v>81</v>
      </c>
      <c r="S35" s="243" t="s">
        <v>82</v>
      </c>
      <c r="T35" s="245">
        <v>287.68556257306193</v>
      </c>
      <c r="U35" s="55" t="s">
        <v>477</v>
      </c>
      <c r="V35" s="45" t="s">
        <v>636</v>
      </c>
      <c r="W35" s="18" t="s">
        <v>684</v>
      </c>
      <c r="X35" s="251" t="s">
        <v>946</v>
      </c>
      <c r="Y35" s="280" t="s">
        <v>972</v>
      </c>
      <c r="Z35" s="243">
        <v>71</v>
      </c>
      <c r="AA35" s="243"/>
      <c r="AB35" s="244"/>
      <c r="AC35" s="252" t="str">
        <f>E35</f>
        <v>3828811</v>
      </c>
      <c r="AD35" s="252"/>
      <c r="AE35" s="243">
        <v>71</v>
      </c>
      <c r="AF35" s="252" t="s">
        <v>811</v>
      </c>
      <c r="AG35" s="252">
        <v>0</v>
      </c>
      <c r="AH35" s="321">
        <v>8372114</v>
      </c>
      <c r="AI35" s="180">
        <v>7439976</v>
      </c>
      <c r="AL35" s="328" t="s">
        <v>1051</v>
      </c>
      <c r="AM35" s="192">
        <f t="shared" si="4"/>
        <v>223</v>
      </c>
      <c r="AN35" s="18">
        <v>10</v>
      </c>
    </row>
    <row r="36" spans="1:42" s="18" customFormat="1" ht="24.95" customHeight="1">
      <c r="A36" s="243" t="s">
        <v>84</v>
      </c>
      <c r="B36" s="243" t="s">
        <v>83</v>
      </c>
      <c r="C36" s="243" t="s">
        <v>478</v>
      </c>
      <c r="D36" s="245" t="s">
        <v>527</v>
      </c>
      <c r="E36" s="205" t="s">
        <v>77</v>
      </c>
      <c r="F36" s="245" t="s">
        <v>526</v>
      </c>
      <c r="G36" s="243" t="s">
        <v>78</v>
      </c>
      <c r="H36" s="243" t="s">
        <v>15</v>
      </c>
      <c r="I36" s="246" t="s">
        <v>681</v>
      </c>
      <c r="J36" s="245">
        <v>6.9999999999999982</v>
      </c>
      <c r="K36" s="253" t="s">
        <v>32</v>
      </c>
      <c r="L36" s="245">
        <v>7</v>
      </c>
      <c r="M36" s="245">
        <v>71</v>
      </c>
      <c r="N36" s="243" t="s">
        <v>79</v>
      </c>
      <c r="O36" s="243" t="s">
        <v>80</v>
      </c>
      <c r="P36" s="243" t="s">
        <v>16</v>
      </c>
      <c r="Q36" s="245">
        <v>1980</v>
      </c>
      <c r="R36" s="243" t="s">
        <v>81</v>
      </c>
      <c r="S36" s="243" t="s">
        <v>82</v>
      </c>
      <c r="T36" s="245">
        <v>287.68556257306193</v>
      </c>
      <c r="U36" s="55" t="s">
        <v>477</v>
      </c>
      <c r="V36" s="45" t="s">
        <v>636</v>
      </c>
      <c r="W36" s="18" t="s">
        <v>684</v>
      </c>
      <c r="X36" s="251" t="s">
        <v>946</v>
      </c>
      <c r="Y36" s="280" t="s">
        <v>972</v>
      </c>
      <c r="Z36" s="243">
        <v>71</v>
      </c>
      <c r="AA36" s="243"/>
      <c r="AB36" s="244"/>
      <c r="AC36" s="252" t="str">
        <f>E36</f>
        <v>3828811</v>
      </c>
      <c r="AD36" s="252"/>
      <c r="AE36" s="243">
        <v>71</v>
      </c>
      <c r="AF36" s="252" t="s">
        <v>811</v>
      </c>
      <c r="AG36" s="252">
        <v>0.30690000000000001</v>
      </c>
      <c r="AH36" s="281">
        <v>8372214</v>
      </c>
      <c r="AI36" s="180">
        <v>7439976</v>
      </c>
      <c r="AL36" s="328" t="s">
        <v>1051</v>
      </c>
      <c r="AM36" s="192">
        <f t="shared" si="4"/>
        <v>223</v>
      </c>
      <c r="AN36" s="18">
        <v>10</v>
      </c>
    </row>
    <row r="37" spans="1:42" s="18" customFormat="1" ht="24.95" customHeight="1">
      <c r="A37" s="243" t="s">
        <v>84</v>
      </c>
      <c r="B37" s="243" t="s">
        <v>83</v>
      </c>
      <c r="C37" s="243" t="s">
        <v>478</v>
      </c>
      <c r="D37" s="245" t="s">
        <v>527</v>
      </c>
      <c r="E37" s="205" t="s">
        <v>77</v>
      </c>
      <c r="F37" s="245" t="s">
        <v>526</v>
      </c>
      <c r="G37" s="243" t="s">
        <v>78</v>
      </c>
      <c r="H37" s="243" t="s">
        <v>15</v>
      </c>
      <c r="I37" s="246" t="s">
        <v>681</v>
      </c>
      <c r="J37" s="245">
        <v>6.9999999999999982</v>
      </c>
      <c r="K37" s="253" t="s">
        <v>32</v>
      </c>
      <c r="L37" s="245">
        <v>7</v>
      </c>
      <c r="M37" s="245">
        <v>71</v>
      </c>
      <c r="N37" s="243" t="s">
        <v>79</v>
      </c>
      <c r="O37" s="243" t="s">
        <v>80</v>
      </c>
      <c r="P37" s="243" t="s">
        <v>16</v>
      </c>
      <c r="Q37" s="245">
        <v>1980</v>
      </c>
      <c r="R37" s="243" t="s">
        <v>81</v>
      </c>
      <c r="S37" s="243" t="s">
        <v>82</v>
      </c>
      <c r="T37" s="245">
        <v>287.68556257306193</v>
      </c>
      <c r="U37" s="55" t="s">
        <v>477</v>
      </c>
      <c r="V37" s="45" t="s">
        <v>636</v>
      </c>
      <c r="W37" s="18" t="s">
        <v>684</v>
      </c>
      <c r="X37" s="251" t="s">
        <v>946</v>
      </c>
      <c r="Y37" s="280" t="s">
        <v>972</v>
      </c>
      <c r="Z37" s="243">
        <v>71</v>
      </c>
      <c r="AA37" s="243"/>
      <c r="AB37" s="244"/>
      <c r="AC37" s="252" t="str">
        <f>E37</f>
        <v>3828811</v>
      </c>
      <c r="AD37" s="252"/>
      <c r="AE37" s="243">
        <v>71</v>
      </c>
      <c r="AF37" s="252" t="s">
        <v>811</v>
      </c>
      <c r="AG37" s="252">
        <v>5.7799999999999997E-2</v>
      </c>
      <c r="AH37" s="281">
        <v>8372314</v>
      </c>
      <c r="AI37" s="180">
        <v>7439976</v>
      </c>
      <c r="AL37" s="328" t="s">
        <v>1051</v>
      </c>
      <c r="AM37" s="192">
        <f t="shared" si="4"/>
        <v>223</v>
      </c>
      <c r="AN37" s="18">
        <v>10</v>
      </c>
    </row>
    <row r="38" spans="1:42" s="18" customFormat="1" ht="24.95" customHeight="1">
      <c r="A38" s="243" t="s">
        <v>84</v>
      </c>
      <c r="B38" s="243" t="s">
        <v>83</v>
      </c>
      <c r="C38" s="243" t="s">
        <v>478</v>
      </c>
      <c r="D38" s="245" t="s">
        <v>527</v>
      </c>
      <c r="E38" s="205" t="s">
        <v>77</v>
      </c>
      <c r="F38" s="245" t="s">
        <v>526</v>
      </c>
      <c r="G38" s="243" t="s">
        <v>78</v>
      </c>
      <c r="H38" s="243" t="s">
        <v>15</v>
      </c>
      <c r="I38" s="246" t="s">
        <v>681</v>
      </c>
      <c r="J38" s="245">
        <v>6.9999999999999982</v>
      </c>
      <c r="K38" s="253" t="s">
        <v>32</v>
      </c>
      <c r="L38" s="245">
        <v>7</v>
      </c>
      <c r="M38" s="245">
        <v>71</v>
      </c>
      <c r="N38" s="243" t="s">
        <v>79</v>
      </c>
      <c r="O38" s="243" t="s">
        <v>80</v>
      </c>
      <c r="P38" s="243" t="s">
        <v>16</v>
      </c>
      <c r="Q38" s="245">
        <v>1980</v>
      </c>
      <c r="R38" s="243" t="s">
        <v>81</v>
      </c>
      <c r="S38" s="243" t="s">
        <v>82</v>
      </c>
      <c r="T38" s="245">
        <v>287.68556257306193</v>
      </c>
      <c r="U38" s="55" t="s">
        <v>477</v>
      </c>
      <c r="V38" s="45" t="s">
        <v>636</v>
      </c>
      <c r="W38" s="18" t="s">
        <v>684</v>
      </c>
      <c r="X38" s="251" t="s">
        <v>946</v>
      </c>
      <c r="Y38" s="280" t="s">
        <v>972</v>
      </c>
      <c r="Z38" s="243">
        <v>71</v>
      </c>
      <c r="AA38" s="243"/>
      <c r="AB38" s="244"/>
      <c r="AC38" s="252" t="str">
        <f>E38</f>
        <v>3828811</v>
      </c>
      <c r="AD38" s="252"/>
      <c r="AE38" s="243">
        <v>71</v>
      </c>
      <c r="AF38" s="252" t="s">
        <v>811</v>
      </c>
      <c r="AG38" s="252">
        <v>0</v>
      </c>
      <c r="AH38" s="281">
        <v>8372414</v>
      </c>
      <c r="AI38" s="180">
        <v>7439976</v>
      </c>
      <c r="AL38" s="328" t="s">
        <v>1051</v>
      </c>
      <c r="AM38" s="192">
        <f t="shared" si="4"/>
        <v>223</v>
      </c>
      <c r="AN38" s="18">
        <v>10</v>
      </c>
    </row>
    <row r="39" spans="1:42" s="18" customFormat="1" ht="24.95" customHeight="1">
      <c r="A39" s="243" t="s">
        <v>84</v>
      </c>
      <c r="B39" s="243" t="s">
        <v>83</v>
      </c>
      <c r="C39" s="243" t="s">
        <v>478</v>
      </c>
      <c r="D39" s="245" t="s">
        <v>527</v>
      </c>
      <c r="E39" s="205" t="s">
        <v>77</v>
      </c>
      <c r="F39" s="245" t="s">
        <v>526</v>
      </c>
      <c r="G39" s="243" t="s">
        <v>78</v>
      </c>
      <c r="H39" s="243" t="s">
        <v>15</v>
      </c>
      <c r="I39" s="246" t="s">
        <v>681</v>
      </c>
      <c r="J39" s="245">
        <v>6.9999999999999982</v>
      </c>
      <c r="K39" s="253" t="s">
        <v>32</v>
      </c>
      <c r="L39" s="245">
        <v>7</v>
      </c>
      <c r="M39" s="245">
        <v>71</v>
      </c>
      <c r="N39" s="243" t="s">
        <v>79</v>
      </c>
      <c r="O39" s="243" t="s">
        <v>80</v>
      </c>
      <c r="P39" s="243" t="s">
        <v>16</v>
      </c>
      <c r="Q39" s="245">
        <v>1980</v>
      </c>
      <c r="R39" s="243" t="s">
        <v>81</v>
      </c>
      <c r="S39" s="243" t="s">
        <v>82</v>
      </c>
      <c r="T39" s="245">
        <v>287.68556257306193</v>
      </c>
      <c r="U39" s="55" t="s">
        <v>477</v>
      </c>
      <c r="V39" s="45" t="s">
        <v>636</v>
      </c>
      <c r="W39" s="18" t="s">
        <v>684</v>
      </c>
      <c r="X39" s="251" t="s">
        <v>946</v>
      </c>
      <c r="Y39" s="280" t="s">
        <v>972</v>
      </c>
      <c r="Z39" s="243">
        <v>71</v>
      </c>
      <c r="AA39" s="243"/>
      <c r="AB39" s="244"/>
      <c r="AC39" s="252" t="str">
        <f>E39</f>
        <v>3828811</v>
      </c>
      <c r="AD39" s="252"/>
      <c r="AE39" s="243">
        <v>71</v>
      </c>
      <c r="AF39" s="252" t="s">
        <v>811</v>
      </c>
      <c r="AG39" s="252">
        <v>0.49199999999999999</v>
      </c>
      <c r="AH39" s="281">
        <v>8372514</v>
      </c>
      <c r="AI39" s="180">
        <v>7439976</v>
      </c>
      <c r="AL39" s="328" t="s">
        <v>1051</v>
      </c>
      <c r="AM39" s="192">
        <f t="shared" si="4"/>
        <v>223</v>
      </c>
      <c r="AN39" s="18">
        <v>10</v>
      </c>
    </row>
    <row r="40" spans="1:42" s="18" customFormat="1" ht="24.95" customHeight="1">
      <c r="A40" s="3" t="s">
        <v>89</v>
      </c>
      <c r="B40" s="3" t="s">
        <v>68</v>
      </c>
      <c r="C40" s="3" t="s">
        <v>284</v>
      </c>
      <c r="D40" s="5" t="s">
        <v>523</v>
      </c>
      <c r="E40" s="3" t="s">
        <v>85</v>
      </c>
      <c r="F40" s="5" t="s">
        <v>528</v>
      </c>
      <c r="G40" s="3" t="s">
        <v>86</v>
      </c>
      <c r="H40" s="3" t="s">
        <v>15</v>
      </c>
      <c r="I40" s="11" t="s">
        <v>681</v>
      </c>
      <c r="J40" s="5">
        <v>315.29872140000003</v>
      </c>
      <c r="K40" s="35" t="s">
        <v>56</v>
      </c>
      <c r="L40" s="5">
        <v>61.199999999999996</v>
      </c>
      <c r="M40" s="23">
        <v>42.620000000000005</v>
      </c>
      <c r="N40" s="203" t="s">
        <v>87</v>
      </c>
      <c r="O40" s="3" t="s">
        <v>618</v>
      </c>
      <c r="P40" s="3" t="s">
        <v>16</v>
      </c>
      <c r="Q40" s="5">
        <v>2008</v>
      </c>
      <c r="R40" s="3" t="s">
        <v>88</v>
      </c>
      <c r="S40" s="3" t="s">
        <v>284</v>
      </c>
      <c r="T40" s="61">
        <v>225</v>
      </c>
      <c r="U40" s="62" t="s">
        <v>696</v>
      </c>
      <c r="V40" s="45" t="s">
        <v>636</v>
      </c>
      <c r="W40" s="18" t="s">
        <v>684</v>
      </c>
      <c r="X40" s="200" t="s">
        <v>819</v>
      </c>
      <c r="Y40" s="199" t="s">
        <v>917</v>
      </c>
      <c r="Z40" s="213">
        <v>227.59514999999999</v>
      </c>
      <c r="AA40" s="3"/>
      <c r="AC40" s="119" t="str">
        <f t="shared" si="0"/>
        <v>3892811</v>
      </c>
      <c r="AD40" s="209" t="s">
        <v>910</v>
      </c>
      <c r="AE40" s="160">
        <f>ROUND((349305 +330782 +331447)*0.000225,2)</f>
        <v>227.6</v>
      </c>
      <c r="AF40" s="252" t="s">
        <v>966</v>
      </c>
      <c r="AG40" s="216">
        <f>ROUND(0.345322055412868,4)</f>
        <v>0.3453</v>
      </c>
      <c r="AH40" s="317">
        <v>13977514</v>
      </c>
      <c r="AI40" s="180">
        <v>7439976</v>
      </c>
      <c r="AL40" s="325" t="s">
        <v>918</v>
      </c>
      <c r="AM40" s="192">
        <f t="shared" si="1"/>
        <v>192</v>
      </c>
      <c r="AN40" s="18">
        <v>10</v>
      </c>
    </row>
    <row r="41" spans="1:42" s="18" customFormat="1" ht="24.95" customHeight="1">
      <c r="A41" s="175" t="s">
        <v>89</v>
      </c>
      <c r="B41" s="175" t="s">
        <v>68</v>
      </c>
      <c r="C41" s="175" t="s">
        <v>284</v>
      </c>
      <c r="D41" s="157" t="s">
        <v>523</v>
      </c>
      <c r="E41" s="175" t="s">
        <v>85</v>
      </c>
      <c r="F41" s="157" t="s">
        <v>528</v>
      </c>
      <c r="G41" s="175" t="s">
        <v>86</v>
      </c>
      <c r="H41" s="175" t="s">
        <v>15</v>
      </c>
      <c r="I41" s="177" t="s">
        <v>681</v>
      </c>
      <c r="J41" s="157">
        <v>315.29872140000003</v>
      </c>
      <c r="K41" s="161" t="s">
        <v>56</v>
      </c>
      <c r="L41" s="157">
        <v>61.199999999999996</v>
      </c>
      <c r="M41" s="23">
        <v>42.620000000000005</v>
      </c>
      <c r="N41" s="175" t="s">
        <v>87</v>
      </c>
      <c r="O41" s="175" t="s">
        <v>618</v>
      </c>
      <c r="P41" s="175" t="s">
        <v>16</v>
      </c>
      <c r="Q41" s="157">
        <v>2008</v>
      </c>
      <c r="R41" s="175" t="s">
        <v>88</v>
      </c>
      <c r="S41" s="175" t="s">
        <v>284</v>
      </c>
      <c r="T41" s="61">
        <v>225</v>
      </c>
      <c r="U41" s="62" t="s">
        <v>696</v>
      </c>
      <c r="V41" s="45" t="s">
        <v>636</v>
      </c>
      <c r="W41" s="18" t="s">
        <v>684</v>
      </c>
      <c r="X41" s="202" t="s">
        <v>819</v>
      </c>
      <c r="Y41" s="201" t="s">
        <v>917</v>
      </c>
      <c r="Z41" s="214">
        <v>227.59514999999999</v>
      </c>
      <c r="AA41" s="175"/>
      <c r="AC41" s="160" t="str">
        <f>E41</f>
        <v>3892811</v>
      </c>
      <c r="AD41" s="209" t="s">
        <v>910</v>
      </c>
      <c r="AE41" s="252">
        <f>ROUND((349305 +330782 +331447)*0.000225,2)</f>
        <v>227.6</v>
      </c>
      <c r="AF41" s="252" t="s">
        <v>966</v>
      </c>
      <c r="AG41" s="216">
        <f>ROUND(0.327010263619414,4)</f>
        <v>0.32700000000000001</v>
      </c>
      <c r="AH41" s="317">
        <v>13977214</v>
      </c>
      <c r="AI41" s="180">
        <v>7439976</v>
      </c>
      <c r="AL41" s="198" t="s">
        <v>918</v>
      </c>
      <c r="AM41" s="192">
        <f t="shared" si="1"/>
        <v>192</v>
      </c>
      <c r="AN41" s="18">
        <v>10</v>
      </c>
    </row>
    <row r="42" spans="1:42" s="18" customFormat="1" ht="24.95" customHeight="1">
      <c r="A42" s="175" t="s">
        <v>89</v>
      </c>
      <c r="B42" s="175" t="s">
        <v>68</v>
      </c>
      <c r="C42" s="175" t="s">
        <v>284</v>
      </c>
      <c r="D42" s="157" t="s">
        <v>523</v>
      </c>
      <c r="E42" s="175" t="s">
        <v>85</v>
      </c>
      <c r="F42" s="157" t="s">
        <v>528</v>
      </c>
      <c r="G42" s="175" t="s">
        <v>86</v>
      </c>
      <c r="H42" s="175" t="s">
        <v>15</v>
      </c>
      <c r="I42" s="177" t="s">
        <v>681</v>
      </c>
      <c r="J42" s="157">
        <v>315.29872140000003</v>
      </c>
      <c r="K42" s="161" t="s">
        <v>56</v>
      </c>
      <c r="L42" s="157">
        <v>61.199999999999996</v>
      </c>
      <c r="M42" s="23">
        <v>42.620000000000005</v>
      </c>
      <c r="N42" s="175" t="s">
        <v>87</v>
      </c>
      <c r="O42" s="175" t="s">
        <v>618</v>
      </c>
      <c r="P42" s="175" t="s">
        <v>16</v>
      </c>
      <c r="Q42" s="157">
        <v>2008</v>
      </c>
      <c r="R42" s="175" t="s">
        <v>88</v>
      </c>
      <c r="S42" s="175" t="s">
        <v>284</v>
      </c>
      <c r="T42" s="61">
        <v>225</v>
      </c>
      <c r="U42" s="62" t="s">
        <v>696</v>
      </c>
      <c r="V42" s="45" t="s">
        <v>636</v>
      </c>
      <c r="W42" s="18" t="s">
        <v>684</v>
      </c>
      <c r="X42" s="212" t="s">
        <v>819</v>
      </c>
      <c r="Y42" s="211" t="s">
        <v>917</v>
      </c>
      <c r="Z42" s="215">
        <v>227.59514999999999</v>
      </c>
      <c r="AA42" s="175"/>
      <c r="AC42" s="160" t="str">
        <f>E42</f>
        <v>3892811</v>
      </c>
      <c r="AD42" s="209" t="s">
        <v>910</v>
      </c>
      <c r="AE42" s="252">
        <f>ROUND((349305 +330782 +331447)*0.000225,2)</f>
        <v>227.6</v>
      </c>
      <c r="AF42" s="252" t="s">
        <v>966</v>
      </c>
      <c r="AG42" s="216">
        <f>ROUND(0.327667680967718,4)</f>
        <v>0.32769999999999999</v>
      </c>
      <c r="AH42" s="317">
        <v>17182414</v>
      </c>
      <c r="AI42" s="180">
        <v>7439976</v>
      </c>
      <c r="AL42" s="198" t="s">
        <v>918</v>
      </c>
      <c r="AM42" s="192">
        <f t="shared" si="1"/>
        <v>192</v>
      </c>
      <c r="AN42" s="18">
        <v>10</v>
      </c>
    </row>
    <row r="43" spans="1:42" s="18" customFormat="1" ht="24.95" customHeight="1">
      <c r="A43" s="3" t="s">
        <v>94</v>
      </c>
      <c r="B43" s="3" t="s">
        <v>93</v>
      </c>
      <c r="C43" s="3" t="s">
        <v>644</v>
      </c>
      <c r="D43" s="5" t="s">
        <v>530</v>
      </c>
      <c r="E43" s="124" t="s">
        <v>860</v>
      </c>
      <c r="F43" s="5" t="s">
        <v>529</v>
      </c>
      <c r="G43" s="243" t="s">
        <v>635</v>
      </c>
      <c r="H43" s="3" t="s">
        <v>15</v>
      </c>
      <c r="I43" s="11" t="s">
        <v>681</v>
      </c>
      <c r="J43" s="5">
        <v>162.90947599999998</v>
      </c>
      <c r="K43" s="35" t="s">
        <v>95</v>
      </c>
      <c r="L43" s="17"/>
      <c r="M43" s="23">
        <v>103.2</v>
      </c>
      <c r="N43" s="3" t="s">
        <v>90</v>
      </c>
      <c r="O43" s="3" t="s">
        <v>613</v>
      </c>
      <c r="P43" s="3" t="s">
        <v>16</v>
      </c>
      <c r="Q43" s="5">
        <v>2008</v>
      </c>
      <c r="R43" s="3" t="s">
        <v>91</v>
      </c>
      <c r="S43" s="3" t="s">
        <v>92</v>
      </c>
      <c r="T43" s="5" t="s">
        <v>8</v>
      </c>
      <c r="U43" s="56" t="s">
        <v>635</v>
      </c>
      <c r="V43" s="7" t="s">
        <v>720</v>
      </c>
      <c r="W43" s="40" t="s">
        <v>721</v>
      </c>
      <c r="X43" s="122" t="s">
        <v>848</v>
      </c>
      <c r="Y43" s="121" t="s">
        <v>849</v>
      </c>
      <c r="Z43" s="116" t="s">
        <v>850</v>
      </c>
      <c r="AA43" s="123" t="s">
        <v>851</v>
      </c>
      <c r="AB43" s="120" t="s">
        <v>852</v>
      </c>
      <c r="AC43" s="124" t="s">
        <v>860</v>
      </c>
      <c r="AD43" s="160" t="s">
        <v>910</v>
      </c>
      <c r="AE43" s="26">
        <v>22</v>
      </c>
      <c r="AF43" s="252" t="s">
        <v>966</v>
      </c>
      <c r="AG43" s="26">
        <v>1</v>
      </c>
      <c r="AH43" s="322">
        <v>124171614</v>
      </c>
      <c r="AI43" s="180">
        <v>7439976</v>
      </c>
      <c r="AJ43" s="118" t="s">
        <v>856</v>
      </c>
      <c r="AK43" s="78">
        <v>40829</v>
      </c>
      <c r="AL43" s="316" t="s">
        <v>1015</v>
      </c>
      <c r="AM43" s="192">
        <f t="shared" si="1"/>
        <v>88</v>
      </c>
      <c r="AN43" s="18">
        <v>9</v>
      </c>
      <c r="AP43" s="194" t="s">
        <v>916</v>
      </c>
    </row>
    <row r="44" spans="1:42" s="288" customFormat="1" ht="24.95" customHeight="1">
      <c r="A44" s="284" t="s">
        <v>101</v>
      </c>
      <c r="B44" s="284" t="s">
        <v>62</v>
      </c>
      <c r="C44" s="284" t="s">
        <v>483</v>
      </c>
      <c r="D44" s="285" t="s">
        <v>532</v>
      </c>
      <c r="E44" s="284" t="s">
        <v>96</v>
      </c>
      <c r="F44" s="285" t="s">
        <v>531</v>
      </c>
      <c r="G44" s="284" t="s">
        <v>97</v>
      </c>
      <c r="H44" s="284" t="s">
        <v>15</v>
      </c>
      <c r="I44" s="286" t="s">
        <v>681</v>
      </c>
      <c r="J44" s="285">
        <v>1</v>
      </c>
      <c r="K44" s="287" t="s">
        <v>14</v>
      </c>
      <c r="M44" s="289">
        <v>0.44</v>
      </c>
      <c r="N44" s="284" t="s">
        <v>98</v>
      </c>
      <c r="O44" s="284" t="s">
        <v>613</v>
      </c>
      <c r="P44" s="284" t="s">
        <v>16</v>
      </c>
      <c r="Q44" s="285">
        <v>2008</v>
      </c>
      <c r="R44" s="284" t="s">
        <v>99</v>
      </c>
      <c r="S44" s="284" t="s">
        <v>100</v>
      </c>
      <c r="T44" s="285">
        <v>137.52508089854558</v>
      </c>
      <c r="U44" s="285" t="s">
        <v>722</v>
      </c>
      <c r="V44" s="290" t="s">
        <v>723</v>
      </c>
      <c r="W44" s="288" t="s">
        <v>684</v>
      </c>
      <c r="X44" s="291" t="s">
        <v>819</v>
      </c>
      <c r="Y44" s="292" t="s">
        <v>960</v>
      </c>
      <c r="Z44" s="284"/>
      <c r="AA44" s="284"/>
      <c r="AB44" s="293"/>
      <c r="AC44" s="294" t="str">
        <f t="shared" ref="AC44:AC102" si="5">E44</f>
        <v>4014511</v>
      </c>
      <c r="AD44" s="294"/>
      <c r="AE44" s="295" t="s">
        <v>635</v>
      </c>
      <c r="AF44" s="294" t="s">
        <v>811</v>
      </c>
      <c r="AG44" s="294">
        <f>0.32/(0.32+0.07)</f>
        <v>0.82051282051282048</v>
      </c>
      <c r="AH44" s="296">
        <v>11188014</v>
      </c>
      <c r="AI44" s="180">
        <v>7439976</v>
      </c>
      <c r="AL44" s="315" t="s">
        <v>1003</v>
      </c>
      <c r="AM44" s="192">
        <f t="shared" si="1"/>
        <v>210</v>
      </c>
      <c r="AN44" s="18">
        <v>10</v>
      </c>
    </row>
    <row r="45" spans="1:42" s="288" customFormat="1" ht="24.95" customHeight="1">
      <c r="A45" s="284" t="s">
        <v>101</v>
      </c>
      <c r="B45" s="284" t="s">
        <v>62</v>
      </c>
      <c r="C45" s="284" t="s">
        <v>483</v>
      </c>
      <c r="D45" s="285" t="s">
        <v>532</v>
      </c>
      <c r="E45" s="284" t="s">
        <v>96</v>
      </c>
      <c r="F45" s="285" t="s">
        <v>531</v>
      </c>
      <c r="G45" s="284" t="s">
        <v>97</v>
      </c>
      <c r="H45" s="284" t="s">
        <v>15</v>
      </c>
      <c r="I45" s="286" t="s">
        <v>681</v>
      </c>
      <c r="J45" s="285">
        <v>1</v>
      </c>
      <c r="K45" s="287" t="s">
        <v>14</v>
      </c>
      <c r="M45" s="289">
        <v>0.44</v>
      </c>
      <c r="N45" s="284" t="s">
        <v>98</v>
      </c>
      <c r="O45" s="284" t="s">
        <v>613</v>
      </c>
      <c r="P45" s="284" t="s">
        <v>16</v>
      </c>
      <c r="Q45" s="285">
        <v>2008</v>
      </c>
      <c r="R45" s="284" t="s">
        <v>99</v>
      </c>
      <c r="S45" s="284" t="s">
        <v>100</v>
      </c>
      <c r="T45" s="285">
        <v>137.52508089854558</v>
      </c>
      <c r="U45" s="285" t="s">
        <v>722</v>
      </c>
      <c r="V45" s="290" t="s">
        <v>723</v>
      </c>
      <c r="W45" s="288" t="s">
        <v>684</v>
      </c>
      <c r="X45" s="291" t="s">
        <v>819</v>
      </c>
      <c r="Y45" s="292" t="s">
        <v>960</v>
      </c>
      <c r="Z45" s="284"/>
      <c r="AA45" s="284"/>
      <c r="AB45" s="293"/>
      <c r="AC45" s="294" t="str">
        <f>E45</f>
        <v>4014511</v>
      </c>
      <c r="AD45" s="294"/>
      <c r="AE45" s="295" t="s">
        <v>635</v>
      </c>
      <c r="AF45" s="294" t="s">
        <v>811</v>
      </c>
      <c r="AG45" s="294">
        <f>0.07/(0.32+0.07)</f>
        <v>0.17948717948717949</v>
      </c>
      <c r="AH45" s="296">
        <v>11188214</v>
      </c>
      <c r="AI45" s="180">
        <v>7439976</v>
      </c>
      <c r="AL45" s="315" t="s">
        <v>1003</v>
      </c>
      <c r="AM45" s="192">
        <f t="shared" si="1"/>
        <v>210</v>
      </c>
      <c r="AN45" s="18">
        <v>10</v>
      </c>
    </row>
    <row r="46" spans="1:42" s="18" customFormat="1" ht="24.95" customHeight="1">
      <c r="A46" s="3" t="s">
        <v>107</v>
      </c>
      <c r="B46" s="3" t="s">
        <v>54</v>
      </c>
      <c r="C46" s="3" t="s">
        <v>652</v>
      </c>
      <c r="D46" s="5" t="s">
        <v>519</v>
      </c>
      <c r="E46" s="205" t="s">
        <v>102</v>
      </c>
      <c r="F46" s="5" t="s">
        <v>533</v>
      </c>
      <c r="G46" s="3" t="s">
        <v>103</v>
      </c>
      <c r="H46" s="3" t="s">
        <v>8</v>
      </c>
      <c r="I46" s="11" t="s">
        <v>681</v>
      </c>
      <c r="J46" s="3"/>
      <c r="K46" s="35" t="s">
        <v>635</v>
      </c>
      <c r="L46" s="5">
        <v>8.2110840000000004E-3</v>
      </c>
      <c r="M46" s="23">
        <v>44</v>
      </c>
      <c r="N46" s="3" t="s">
        <v>104</v>
      </c>
      <c r="O46" s="3" t="s">
        <v>613</v>
      </c>
      <c r="P46" s="3" t="s">
        <v>16</v>
      </c>
      <c r="Q46" s="5">
        <v>2008</v>
      </c>
      <c r="R46" s="3" t="s">
        <v>105</v>
      </c>
      <c r="S46" s="3" t="s">
        <v>106</v>
      </c>
      <c r="T46" s="5" t="s">
        <v>8</v>
      </c>
      <c r="U46" s="5" t="s">
        <v>635</v>
      </c>
      <c r="V46" s="71" t="s">
        <v>508</v>
      </c>
      <c r="W46" s="40" t="s">
        <v>721</v>
      </c>
      <c r="X46" s="275" t="s">
        <v>783</v>
      </c>
      <c r="Y46" s="96" t="s">
        <v>816</v>
      </c>
      <c r="Z46" s="3"/>
      <c r="AA46" s="3"/>
      <c r="AB46" s="4"/>
      <c r="AC46" s="119" t="str">
        <f t="shared" si="5"/>
        <v>4097111</v>
      </c>
      <c r="AD46" s="209" t="s">
        <v>910</v>
      </c>
      <c r="AE46" s="26"/>
      <c r="AF46" s="26" t="s">
        <v>808</v>
      </c>
      <c r="AG46" s="252">
        <v>1</v>
      </c>
      <c r="AH46" s="319">
        <v>43744714</v>
      </c>
      <c r="AI46" s="180">
        <v>7439976</v>
      </c>
      <c r="AJ46" s="95" t="s">
        <v>817</v>
      </c>
      <c r="AK46" s="78">
        <v>40805</v>
      </c>
      <c r="AL46" s="315" t="s">
        <v>1002</v>
      </c>
      <c r="AM46" s="192">
        <f t="shared" si="1"/>
        <v>46</v>
      </c>
      <c r="AN46" s="18">
        <v>2</v>
      </c>
    </row>
    <row r="47" spans="1:42" s="18" customFormat="1" ht="24.95" customHeight="1">
      <c r="A47" s="3" t="s">
        <v>69</v>
      </c>
      <c r="B47" s="3" t="s">
        <v>68</v>
      </c>
      <c r="C47" s="3" t="s">
        <v>472</v>
      </c>
      <c r="D47" s="5" t="s">
        <v>523</v>
      </c>
      <c r="E47" s="3" t="s">
        <v>108</v>
      </c>
      <c r="F47" s="5" t="s">
        <v>534</v>
      </c>
      <c r="G47" s="3" t="s">
        <v>109</v>
      </c>
      <c r="H47" s="3" t="s">
        <v>15</v>
      </c>
      <c r="I47" s="11" t="s">
        <v>681</v>
      </c>
      <c r="J47" s="5">
        <v>0.35</v>
      </c>
      <c r="K47" s="35" t="s">
        <v>14</v>
      </c>
      <c r="M47" s="5">
        <v>0.34</v>
      </c>
      <c r="N47" s="3" t="s">
        <v>110</v>
      </c>
      <c r="O47" s="3" t="s">
        <v>619</v>
      </c>
      <c r="P47" s="3" t="s">
        <v>16</v>
      </c>
      <c r="Q47" s="5">
        <v>2008</v>
      </c>
      <c r="R47" s="3" t="s">
        <v>111</v>
      </c>
      <c r="S47" s="3" t="s">
        <v>67</v>
      </c>
      <c r="T47" s="5" t="s">
        <v>8</v>
      </c>
      <c r="U47" s="5" t="s">
        <v>635</v>
      </c>
      <c r="V47" s="39" t="s">
        <v>724</v>
      </c>
      <c r="W47" s="40" t="s">
        <v>721</v>
      </c>
      <c r="X47" s="234" t="s">
        <v>819</v>
      </c>
      <c r="Y47" s="233" t="s">
        <v>924</v>
      </c>
      <c r="Z47" s="3"/>
      <c r="AA47" s="3"/>
      <c r="AB47" s="4"/>
      <c r="AC47" s="119" t="str">
        <f t="shared" si="5"/>
        <v>4104211</v>
      </c>
      <c r="AD47" s="209" t="s">
        <v>910</v>
      </c>
      <c r="AE47" s="160">
        <f>ROUND(50100*0.000248,2)</f>
        <v>12.42</v>
      </c>
      <c r="AF47" s="252" t="s">
        <v>966</v>
      </c>
      <c r="AG47" s="26">
        <v>1</v>
      </c>
      <c r="AH47" s="317">
        <v>14507814</v>
      </c>
      <c r="AI47" s="180">
        <v>7439976</v>
      </c>
      <c r="AK47" s="78">
        <v>40836</v>
      </c>
      <c r="AL47" s="315" t="s">
        <v>1019</v>
      </c>
      <c r="AM47" s="192">
        <f t="shared" si="1"/>
        <v>101</v>
      </c>
      <c r="AN47" s="18">
        <v>13</v>
      </c>
    </row>
    <row r="48" spans="1:42" s="18" customFormat="1" ht="24.95" customHeight="1">
      <c r="A48" s="3" t="s">
        <v>117</v>
      </c>
      <c r="B48" s="3" t="s">
        <v>116</v>
      </c>
      <c r="C48" s="3" t="s">
        <v>647</v>
      </c>
      <c r="D48" s="5" t="s">
        <v>536</v>
      </c>
      <c r="E48" s="205" t="s">
        <v>919</v>
      </c>
      <c r="F48" s="5" t="s">
        <v>535</v>
      </c>
      <c r="G48" s="3" t="s">
        <v>112</v>
      </c>
      <c r="H48" s="3" t="s">
        <v>15</v>
      </c>
      <c r="I48" s="11" t="s">
        <v>681</v>
      </c>
      <c r="J48" s="5">
        <v>303</v>
      </c>
      <c r="K48" s="35" t="s">
        <v>14</v>
      </c>
      <c r="L48" s="5">
        <v>721</v>
      </c>
      <c r="M48" s="5">
        <v>359</v>
      </c>
      <c r="N48" s="3" t="s">
        <v>113</v>
      </c>
      <c r="O48" s="3" t="s">
        <v>8</v>
      </c>
      <c r="P48" s="3" t="s">
        <v>16</v>
      </c>
      <c r="Q48" s="5">
        <v>2008</v>
      </c>
      <c r="R48" s="3" t="s">
        <v>114</v>
      </c>
      <c r="S48" s="3" t="s">
        <v>115</v>
      </c>
      <c r="T48" s="5" t="s">
        <v>8</v>
      </c>
      <c r="U48" s="5" t="s">
        <v>635</v>
      </c>
      <c r="V48" s="64" t="s">
        <v>769</v>
      </c>
      <c r="W48" s="6" t="s">
        <v>505</v>
      </c>
      <c r="X48" s="108" t="s">
        <v>806</v>
      </c>
      <c r="Y48" s="109" t="s">
        <v>840</v>
      </c>
      <c r="Z48" s="3"/>
      <c r="AA48" s="3"/>
      <c r="AB48" s="4"/>
      <c r="AC48" s="119" t="str">
        <f t="shared" si="5"/>
        <v>4350411</v>
      </c>
      <c r="AD48" s="209" t="s">
        <v>915</v>
      </c>
      <c r="AE48" s="26"/>
      <c r="AF48" s="26" t="s">
        <v>810</v>
      </c>
      <c r="AG48" s="26">
        <v>0</v>
      </c>
      <c r="AI48" s="180">
        <v>7439976</v>
      </c>
      <c r="AM48" s="192">
        <f t="shared" si="1"/>
        <v>0</v>
      </c>
    </row>
    <row r="49" spans="1:41" s="18" customFormat="1" ht="24.95" customHeight="1">
      <c r="A49" s="3" t="s">
        <v>123</v>
      </c>
      <c r="B49" s="3" t="s">
        <v>93</v>
      </c>
      <c r="C49" s="3" t="s">
        <v>653</v>
      </c>
      <c r="D49" s="5" t="s">
        <v>530</v>
      </c>
      <c r="E49" s="3" t="s">
        <v>118</v>
      </c>
      <c r="F49" s="5" t="s">
        <v>537</v>
      </c>
      <c r="G49" s="3" t="s">
        <v>119</v>
      </c>
      <c r="H49" s="3" t="s">
        <v>15</v>
      </c>
      <c r="I49" s="11" t="s">
        <v>681</v>
      </c>
      <c r="J49" s="5">
        <v>26.065515999999999</v>
      </c>
      <c r="K49" s="35" t="s">
        <v>56</v>
      </c>
      <c r="L49" s="3"/>
      <c r="M49" s="17"/>
      <c r="N49" s="3" t="s">
        <v>120</v>
      </c>
      <c r="O49" s="3" t="s">
        <v>613</v>
      </c>
      <c r="P49" s="3" t="s">
        <v>124</v>
      </c>
      <c r="Q49" s="5">
        <v>1998</v>
      </c>
      <c r="R49" s="3" t="s">
        <v>121</v>
      </c>
      <c r="S49" s="3" t="s">
        <v>122</v>
      </c>
      <c r="T49" s="5" t="s">
        <v>8</v>
      </c>
      <c r="U49" s="5" t="s">
        <v>635</v>
      </c>
      <c r="V49" s="15" t="s">
        <v>725</v>
      </c>
      <c r="W49" s="58" t="s">
        <v>760</v>
      </c>
      <c r="X49" s="127" t="s">
        <v>857</v>
      </c>
      <c r="Y49" s="128" t="s">
        <v>858</v>
      </c>
      <c r="Z49" s="125" t="s">
        <v>859</v>
      </c>
      <c r="AA49" s="3"/>
      <c r="AB49" s="4"/>
      <c r="AC49" s="119" t="str">
        <f t="shared" si="5"/>
        <v>4543911</v>
      </c>
      <c r="AD49" s="209" t="s">
        <v>635</v>
      </c>
      <c r="AE49" s="26"/>
      <c r="AF49" s="126" t="s">
        <v>814</v>
      </c>
      <c r="AG49" s="26">
        <v>0</v>
      </c>
      <c r="AI49" s="180">
        <v>7439976</v>
      </c>
      <c r="AK49" s="78">
        <v>40829</v>
      </c>
      <c r="AM49" s="192">
        <f t="shared" si="1"/>
        <v>0</v>
      </c>
    </row>
    <row r="50" spans="1:41" s="18" customFormat="1" ht="24.95" customHeight="1">
      <c r="A50" s="3" t="s">
        <v>130</v>
      </c>
      <c r="B50" s="3" t="s">
        <v>68</v>
      </c>
      <c r="C50" s="3" t="s">
        <v>668</v>
      </c>
      <c r="D50" s="5" t="s">
        <v>523</v>
      </c>
      <c r="E50" s="3" t="s">
        <v>125</v>
      </c>
      <c r="F50" s="5" t="s">
        <v>538</v>
      </c>
      <c r="G50" s="3" t="s">
        <v>126</v>
      </c>
      <c r="H50" s="3" t="s">
        <v>15</v>
      </c>
      <c r="I50" s="11" t="s">
        <v>681</v>
      </c>
      <c r="J50" s="5">
        <v>29.323706000000001</v>
      </c>
      <c r="K50" s="35" t="s">
        <v>56</v>
      </c>
      <c r="M50" s="3"/>
      <c r="N50" s="3" t="s">
        <v>127</v>
      </c>
      <c r="O50" s="3" t="s">
        <v>620</v>
      </c>
      <c r="P50" s="3" t="s">
        <v>16</v>
      </c>
      <c r="Q50" s="5">
        <v>2008</v>
      </c>
      <c r="R50" s="3" t="s">
        <v>128</v>
      </c>
      <c r="S50" s="3" t="s">
        <v>129</v>
      </c>
      <c r="T50" s="5" t="s">
        <v>8</v>
      </c>
      <c r="U50" s="5" t="s">
        <v>635</v>
      </c>
      <c r="V50" s="15" t="s">
        <v>754</v>
      </c>
      <c r="W50" s="58" t="s">
        <v>760</v>
      </c>
      <c r="X50" s="84" t="s">
        <v>792</v>
      </c>
      <c r="Y50" s="90" t="s">
        <v>802</v>
      </c>
      <c r="Z50" s="3"/>
      <c r="AA50" s="3"/>
      <c r="AB50" s="4"/>
      <c r="AC50" s="119" t="str">
        <f t="shared" si="5"/>
        <v>4760011</v>
      </c>
      <c r="AD50" s="209" t="s">
        <v>910</v>
      </c>
      <c r="AE50" s="26">
        <f>ROUND((53417+26698+26698+4410)*0.000248,2)</f>
        <v>27.58</v>
      </c>
      <c r="AF50" s="252" t="s">
        <v>966</v>
      </c>
      <c r="AG50" s="219">
        <f>ROUND(0.480269368745673,4)</f>
        <v>0.4803</v>
      </c>
      <c r="AH50" s="317">
        <v>15381414</v>
      </c>
      <c r="AI50" s="180">
        <v>7439976</v>
      </c>
      <c r="AK50" s="78">
        <v>40836</v>
      </c>
      <c r="AL50" s="315" t="s">
        <v>1019</v>
      </c>
      <c r="AM50" s="192">
        <f t="shared" si="1"/>
        <v>101</v>
      </c>
      <c r="AN50" s="18">
        <v>13</v>
      </c>
    </row>
    <row r="51" spans="1:41" s="18" customFormat="1" ht="24.95" customHeight="1">
      <c r="A51" s="203" t="s">
        <v>130</v>
      </c>
      <c r="B51" s="203" t="s">
        <v>68</v>
      </c>
      <c r="C51" s="203" t="s">
        <v>668</v>
      </c>
      <c r="D51" s="217" t="s">
        <v>523</v>
      </c>
      <c r="E51" s="203" t="s">
        <v>125</v>
      </c>
      <c r="F51" s="217" t="s">
        <v>538</v>
      </c>
      <c r="G51" s="203" t="s">
        <v>126</v>
      </c>
      <c r="H51" s="203" t="s">
        <v>15</v>
      </c>
      <c r="I51" s="206" t="s">
        <v>681</v>
      </c>
      <c r="J51" s="217">
        <v>29.323706000000001</v>
      </c>
      <c r="K51" s="210" t="s">
        <v>56</v>
      </c>
      <c r="M51" s="203"/>
      <c r="N51" s="203" t="s">
        <v>127</v>
      </c>
      <c r="O51" s="203" t="s">
        <v>620</v>
      </c>
      <c r="P51" s="203" t="s">
        <v>16</v>
      </c>
      <c r="Q51" s="217">
        <v>2008</v>
      </c>
      <c r="R51" s="203" t="s">
        <v>128</v>
      </c>
      <c r="S51" s="203" t="s">
        <v>129</v>
      </c>
      <c r="T51" s="217" t="s">
        <v>8</v>
      </c>
      <c r="U51" s="217" t="s">
        <v>635</v>
      </c>
      <c r="V51" s="207" t="s">
        <v>754</v>
      </c>
      <c r="W51" s="58" t="s">
        <v>760</v>
      </c>
      <c r="X51" s="84" t="s">
        <v>792</v>
      </c>
      <c r="Y51" s="90" t="s">
        <v>802</v>
      </c>
      <c r="Z51" s="203"/>
      <c r="AA51" s="203"/>
      <c r="AB51" s="204"/>
      <c r="AC51" s="209" t="str">
        <f>E51</f>
        <v>4760011</v>
      </c>
      <c r="AD51" s="209" t="s">
        <v>910</v>
      </c>
      <c r="AE51" s="252">
        <f>ROUND((53417+26698+26698+4410)*0.000248,2)</f>
        <v>27.58</v>
      </c>
      <c r="AF51" s="252" t="s">
        <v>966</v>
      </c>
      <c r="AG51" s="219">
        <f>ROUND(0.240040279438605,4)</f>
        <v>0.24</v>
      </c>
      <c r="AH51" s="317">
        <v>15381514</v>
      </c>
      <c r="AI51" s="180">
        <v>7439976</v>
      </c>
      <c r="AK51" s="78">
        <v>40836</v>
      </c>
      <c r="AL51" s="315" t="s">
        <v>1019</v>
      </c>
      <c r="AM51" s="192">
        <f t="shared" si="1"/>
        <v>101</v>
      </c>
      <c r="AN51" s="18">
        <v>13</v>
      </c>
    </row>
    <row r="52" spans="1:41" s="18" customFormat="1" ht="24.95" customHeight="1">
      <c r="A52" s="203" t="s">
        <v>130</v>
      </c>
      <c r="B52" s="203" t="s">
        <v>68</v>
      </c>
      <c r="C52" s="203" t="s">
        <v>668</v>
      </c>
      <c r="D52" s="217" t="s">
        <v>523</v>
      </c>
      <c r="E52" s="203" t="s">
        <v>125</v>
      </c>
      <c r="F52" s="217" t="s">
        <v>538</v>
      </c>
      <c r="G52" s="203" t="s">
        <v>126</v>
      </c>
      <c r="H52" s="203" t="s">
        <v>15</v>
      </c>
      <c r="I52" s="206" t="s">
        <v>681</v>
      </c>
      <c r="J52" s="217">
        <v>29.323706000000001</v>
      </c>
      <c r="K52" s="210" t="s">
        <v>56</v>
      </c>
      <c r="M52" s="203"/>
      <c r="N52" s="203" t="s">
        <v>127</v>
      </c>
      <c r="O52" s="203" t="s">
        <v>620</v>
      </c>
      <c r="P52" s="203" t="s">
        <v>16</v>
      </c>
      <c r="Q52" s="217">
        <v>2008</v>
      </c>
      <c r="R52" s="203" t="s">
        <v>128</v>
      </c>
      <c r="S52" s="203" t="s">
        <v>129</v>
      </c>
      <c r="T52" s="217" t="s">
        <v>8</v>
      </c>
      <c r="U52" s="217" t="s">
        <v>635</v>
      </c>
      <c r="V52" s="207" t="s">
        <v>754</v>
      </c>
      <c r="W52" s="58" t="s">
        <v>760</v>
      </c>
      <c r="X52" s="84" t="s">
        <v>792</v>
      </c>
      <c r="Y52" s="90" t="s">
        <v>802</v>
      </c>
      <c r="Z52" s="203"/>
      <c r="AA52" s="203"/>
      <c r="AB52" s="204"/>
      <c r="AC52" s="209" t="str">
        <f>E52</f>
        <v>4760011</v>
      </c>
      <c r="AD52" s="209" t="s">
        <v>910</v>
      </c>
      <c r="AE52" s="252">
        <f>ROUND((53417+26698+26698+4410)*0.000248,2)</f>
        <v>27.58</v>
      </c>
      <c r="AF52" s="252" t="s">
        <v>966</v>
      </c>
      <c r="AG52" s="219">
        <f>ROUND(0.240040279438605,4)</f>
        <v>0.24</v>
      </c>
      <c r="AH52" s="317">
        <v>15381614</v>
      </c>
      <c r="AI52" s="180">
        <v>7439976</v>
      </c>
      <c r="AK52" s="78">
        <v>40836</v>
      </c>
      <c r="AL52" s="315" t="s">
        <v>1019</v>
      </c>
      <c r="AM52" s="192">
        <f t="shared" si="1"/>
        <v>101</v>
      </c>
      <c r="AN52" s="18">
        <v>13</v>
      </c>
    </row>
    <row r="53" spans="1:41" s="18" customFormat="1" ht="24.95" customHeight="1">
      <c r="A53" s="203" t="s">
        <v>130</v>
      </c>
      <c r="B53" s="203" t="s">
        <v>68</v>
      </c>
      <c r="C53" s="203" t="s">
        <v>668</v>
      </c>
      <c r="D53" s="217" t="s">
        <v>523</v>
      </c>
      <c r="E53" s="203" t="s">
        <v>125</v>
      </c>
      <c r="F53" s="217" t="s">
        <v>538</v>
      </c>
      <c r="G53" s="203" t="s">
        <v>126</v>
      </c>
      <c r="H53" s="203" t="s">
        <v>15</v>
      </c>
      <c r="I53" s="206" t="s">
        <v>681</v>
      </c>
      <c r="J53" s="217">
        <v>29.323706000000001</v>
      </c>
      <c r="K53" s="210" t="s">
        <v>56</v>
      </c>
      <c r="M53" s="203"/>
      <c r="N53" s="203" t="s">
        <v>127</v>
      </c>
      <c r="O53" s="203" t="s">
        <v>620</v>
      </c>
      <c r="P53" s="203" t="s">
        <v>16</v>
      </c>
      <c r="Q53" s="217">
        <v>2008</v>
      </c>
      <c r="R53" s="203" t="s">
        <v>128</v>
      </c>
      <c r="S53" s="203" t="s">
        <v>129</v>
      </c>
      <c r="T53" s="217" t="s">
        <v>8</v>
      </c>
      <c r="U53" s="217" t="s">
        <v>635</v>
      </c>
      <c r="V53" s="207" t="s">
        <v>754</v>
      </c>
      <c r="W53" s="58" t="s">
        <v>760</v>
      </c>
      <c r="X53" s="84" t="s">
        <v>792</v>
      </c>
      <c r="Y53" s="90" t="s">
        <v>802</v>
      </c>
      <c r="Z53" s="203"/>
      <c r="AA53" s="203"/>
      <c r="AB53" s="204"/>
      <c r="AC53" s="209" t="str">
        <f>E53</f>
        <v>4760011</v>
      </c>
      <c r="AD53" s="209" t="s">
        <v>910</v>
      </c>
      <c r="AE53" s="252">
        <f>ROUND((53417+26698+26698+4410)*0.000248,2)</f>
        <v>27.58</v>
      </c>
      <c r="AF53" s="252" t="s">
        <v>966</v>
      </c>
      <c r="AG53" s="219">
        <f>ROUND(0.0396500723771162,4)</f>
        <v>3.9699999999999999E-2</v>
      </c>
      <c r="AH53" s="317">
        <v>15382014</v>
      </c>
      <c r="AI53" s="180">
        <v>7439976</v>
      </c>
      <c r="AK53" s="78">
        <v>40836</v>
      </c>
      <c r="AL53" s="315" t="s">
        <v>1019</v>
      </c>
      <c r="AM53" s="192">
        <f t="shared" si="1"/>
        <v>101</v>
      </c>
      <c r="AN53" s="18">
        <v>13</v>
      </c>
    </row>
    <row r="54" spans="1:41" s="18" customFormat="1" ht="24.95" customHeight="1">
      <c r="A54" s="243" t="s">
        <v>136</v>
      </c>
      <c r="B54" s="243" t="s">
        <v>135</v>
      </c>
      <c r="C54" s="243" t="s">
        <v>645</v>
      </c>
      <c r="D54" s="245" t="s">
        <v>539</v>
      </c>
      <c r="E54" s="243" t="s">
        <v>131</v>
      </c>
      <c r="F54" s="165" t="s">
        <v>967</v>
      </c>
      <c r="G54" s="243" t="s">
        <v>8</v>
      </c>
      <c r="H54" s="243" t="s">
        <v>15</v>
      </c>
      <c r="I54" s="246" t="s">
        <v>681</v>
      </c>
      <c r="J54" s="245">
        <v>244.39241200000001</v>
      </c>
      <c r="K54" s="253" t="s">
        <v>683</v>
      </c>
      <c r="L54" s="245">
        <v>2.1634E-2</v>
      </c>
      <c r="M54" s="248"/>
      <c r="N54" s="243" t="s">
        <v>132</v>
      </c>
      <c r="O54" s="243" t="s">
        <v>132</v>
      </c>
      <c r="P54" s="243" t="s">
        <v>16</v>
      </c>
      <c r="Q54" s="245">
        <v>2008</v>
      </c>
      <c r="R54" s="243" t="s">
        <v>133</v>
      </c>
      <c r="S54" s="243" t="s">
        <v>134</v>
      </c>
      <c r="T54" s="245" t="s">
        <v>8</v>
      </c>
      <c r="U54" s="245" t="s">
        <v>635</v>
      </c>
      <c r="V54" s="59" t="s">
        <v>755</v>
      </c>
      <c r="W54" s="58" t="s">
        <v>760</v>
      </c>
      <c r="X54" s="84" t="s">
        <v>792</v>
      </c>
      <c r="Y54" s="90" t="s">
        <v>802</v>
      </c>
      <c r="Z54" s="243"/>
      <c r="AA54" s="243"/>
      <c r="AB54" s="244"/>
      <c r="AC54" s="252" t="str">
        <f t="shared" si="5"/>
        <v>4840211</v>
      </c>
      <c r="AE54" s="252"/>
      <c r="AF54" s="252" t="s">
        <v>938</v>
      </c>
      <c r="AG54" s="252">
        <v>1</v>
      </c>
      <c r="AH54" s="317">
        <v>113458414</v>
      </c>
      <c r="AI54" s="180">
        <v>7439976</v>
      </c>
      <c r="AL54" s="315" t="s">
        <v>995</v>
      </c>
      <c r="AM54" s="192">
        <f t="shared" si="1"/>
        <v>79</v>
      </c>
      <c r="AN54" s="18">
        <v>2</v>
      </c>
    </row>
    <row r="55" spans="1:41" s="18" customFormat="1" ht="24.95" customHeight="1">
      <c r="A55" s="3" t="s">
        <v>142</v>
      </c>
      <c r="B55" s="3" t="s">
        <v>83</v>
      </c>
      <c r="C55" s="3" t="s">
        <v>496</v>
      </c>
      <c r="D55" s="23" t="s">
        <v>527</v>
      </c>
      <c r="E55" s="3" t="s">
        <v>137</v>
      </c>
      <c r="F55" s="23" t="s">
        <v>526</v>
      </c>
      <c r="G55" s="3" t="s">
        <v>138</v>
      </c>
      <c r="H55" s="3" t="s">
        <v>15</v>
      </c>
      <c r="I55" s="11" t="s">
        <v>681</v>
      </c>
      <c r="J55" s="23">
        <v>947.8767180000001</v>
      </c>
      <c r="K55" s="35" t="s">
        <v>683</v>
      </c>
      <c r="L55" s="23">
        <v>268.60000000000002</v>
      </c>
      <c r="M55" s="23">
        <v>297.02999999999997</v>
      </c>
      <c r="N55" s="3" t="s">
        <v>139</v>
      </c>
      <c r="O55" s="3" t="s">
        <v>621</v>
      </c>
      <c r="P55" s="3" t="s">
        <v>16</v>
      </c>
      <c r="Q55" s="5">
        <v>1980</v>
      </c>
      <c r="R55" s="3" t="s">
        <v>140</v>
      </c>
      <c r="S55" s="3" t="s">
        <v>141</v>
      </c>
      <c r="T55" s="5">
        <v>295.57268391697306</v>
      </c>
      <c r="U55" s="5" t="s">
        <v>704</v>
      </c>
      <c r="V55" s="39" t="s">
        <v>726</v>
      </c>
      <c r="W55" s="8" t="s">
        <v>637</v>
      </c>
      <c r="X55" s="251" t="s">
        <v>782</v>
      </c>
      <c r="Y55" s="195" t="s">
        <v>947</v>
      </c>
      <c r="Z55" s="3"/>
      <c r="AA55" s="3"/>
      <c r="AB55" s="4"/>
      <c r="AC55" s="119" t="str">
        <f t="shared" si="5"/>
        <v>4930611</v>
      </c>
      <c r="AD55" s="160"/>
      <c r="AE55" s="26"/>
      <c r="AF55" s="252" t="s">
        <v>810</v>
      </c>
      <c r="AG55" s="26">
        <v>0</v>
      </c>
      <c r="AI55" s="180">
        <v>7439976</v>
      </c>
      <c r="AM55" s="192">
        <f t="shared" si="1"/>
        <v>0</v>
      </c>
    </row>
    <row r="56" spans="1:41" s="18" customFormat="1" ht="24.95" customHeight="1">
      <c r="A56" s="243" t="s">
        <v>142</v>
      </c>
      <c r="B56" s="243" t="s">
        <v>83</v>
      </c>
      <c r="C56" s="243" t="s">
        <v>496</v>
      </c>
      <c r="D56" s="250" t="s">
        <v>527</v>
      </c>
      <c r="E56" s="243" t="s">
        <v>137</v>
      </c>
      <c r="F56" s="250" t="s">
        <v>526</v>
      </c>
      <c r="G56" s="243" t="s">
        <v>138</v>
      </c>
      <c r="H56" s="243" t="s">
        <v>15</v>
      </c>
      <c r="I56" s="246" t="s">
        <v>681</v>
      </c>
      <c r="J56" s="250">
        <v>947.8767180000001</v>
      </c>
      <c r="K56" s="253" t="s">
        <v>683</v>
      </c>
      <c r="L56" s="250">
        <v>268.60000000000002</v>
      </c>
      <c r="M56" s="250">
        <v>297.02999999999997</v>
      </c>
      <c r="N56" s="243" t="s">
        <v>139</v>
      </c>
      <c r="O56" s="243" t="s">
        <v>621</v>
      </c>
      <c r="P56" s="243" t="s">
        <v>16</v>
      </c>
      <c r="Q56" s="245">
        <v>1980</v>
      </c>
      <c r="R56" s="243" t="s">
        <v>140</v>
      </c>
      <c r="S56" s="243" t="s">
        <v>141</v>
      </c>
      <c r="T56" s="245">
        <v>295.57268391697306</v>
      </c>
      <c r="U56" s="245" t="s">
        <v>704</v>
      </c>
      <c r="V56" s="39" t="s">
        <v>726</v>
      </c>
      <c r="W56" s="8" t="s">
        <v>637</v>
      </c>
      <c r="X56" s="251" t="s">
        <v>782</v>
      </c>
      <c r="Y56" s="195" t="s">
        <v>947</v>
      </c>
      <c r="Z56" s="243"/>
      <c r="AA56" s="243"/>
      <c r="AB56" s="244"/>
      <c r="AC56" s="252" t="str">
        <f t="shared" ref="AC56" si="6">E56</f>
        <v>4930611</v>
      </c>
      <c r="AD56" s="252"/>
      <c r="AE56" s="252"/>
      <c r="AF56" s="252" t="s">
        <v>811</v>
      </c>
      <c r="AG56" s="342">
        <v>1.1169024571854057E-2</v>
      </c>
      <c r="AH56" s="343">
        <v>98671014</v>
      </c>
      <c r="AI56" s="180">
        <v>7439976</v>
      </c>
      <c r="AL56" s="330" t="s">
        <v>894</v>
      </c>
      <c r="AM56" s="192">
        <f t="shared" ref="AM56" si="7">LEN(AL56)</f>
        <v>166</v>
      </c>
      <c r="AN56" s="18">
        <v>10</v>
      </c>
    </row>
    <row r="57" spans="1:41" s="18" customFormat="1" ht="24.95" customHeight="1">
      <c r="A57" s="243" t="s">
        <v>142</v>
      </c>
      <c r="B57" s="243" t="s">
        <v>83</v>
      </c>
      <c r="C57" s="243" t="s">
        <v>496</v>
      </c>
      <c r="D57" s="250" t="s">
        <v>527</v>
      </c>
      <c r="E57" s="243" t="s">
        <v>137</v>
      </c>
      <c r="F57" s="250" t="s">
        <v>526</v>
      </c>
      <c r="G57" s="243" t="s">
        <v>138</v>
      </c>
      <c r="H57" s="243" t="s">
        <v>15</v>
      </c>
      <c r="I57" s="246" t="s">
        <v>681</v>
      </c>
      <c r="J57" s="250">
        <v>947.8767180000001</v>
      </c>
      <c r="K57" s="253" t="s">
        <v>683</v>
      </c>
      <c r="L57" s="250">
        <v>268.60000000000002</v>
      </c>
      <c r="M57" s="250">
        <v>297.02999999999997</v>
      </c>
      <c r="N57" s="243" t="s">
        <v>139</v>
      </c>
      <c r="O57" s="243" t="s">
        <v>621</v>
      </c>
      <c r="P57" s="243" t="s">
        <v>16</v>
      </c>
      <c r="Q57" s="245">
        <v>1980</v>
      </c>
      <c r="R57" s="243" t="s">
        <v>140</v>
      </c>
      <c r="S57" s="243" t="s">
        <v>141</v>
      </c>
      <c r="T57" s="245">
        <v>295.57268391697306</v>
      </c>
      <c r="U57" s="245" t="s">
        <v>704</v>
      </c>
      <c r="V57" s="39" t="s">
        <v>726</v>
      </c>
      <c r="W57" s="8" t="s">
        <v>637</v>
      </c>
      <c r="X57" s="251" t="s">
        <v>782</v>
      </c>
      <c r="Y57" s="195" t="s">
        <v>947</v>
      </c>
      <c r="Z57" s="243"/>
      <c r="AA57" s="243"/>
      <c r="AB57" s="244"/>
      <c r="AC57" s="252" t="str">
        <f t="shared" ref="AC57:AC58" si="8">E57</f>
        <v>4930611</v>
      </c>
      <c r="AD57" s="252"/>
      <c r="AE57" s="252"/>
      <c r="AF57" s="252" t="s">
        <v>811</v>
      </c>
      <c r="AG57" s="342">
        <v>0.76917349218168274</v>
      </c>
      <c r="AH57" s="343">
        <v>98674314</v>
      </c>
      <c r="AI57" s="180">
        <v>7439976</v>
      </c>
      <c r="AL57" s="330" t="s">
        <v>894</v>
      </c>
      <c r="AM57" s="192">
        <f t="shared" ref="AM57:AM58" si="9">LEN(AL57)</f>
        <v>166</v>
      </c>
      <c r="AN57" s="18">
        <v>10</v>
      </c>
    </row>
    <row r="58" spans="1:41" s="18" customFormat="1" ht="24.95" customHeight="1">
      <c r="A58" s="243" t="s">
        <v>142</v>
      </c>
      <c r="B58" s="243" t="s">
        <v>83</v>
      </c>
      <c r="C58" s="243" t="s">
        <v>496</v>
      </c>
      <c r="D58" s="250" t="s">
        <v>527</v>
      </c>
      <c r="E58" s="243" t="s">
        <v>137</v>
      </c>
      <c r="F58" s="250" t="s">
        <v>526</v>
      </c>
      <c r="G58" s="243" t="s">
        <v>138</v>
      </c>
      <c r="H58" s="243" t="s">
        <v>15</v>
      </c>
      <c r="I58" s="246" t="s">
        <v>681</v>
      </c>
      <c r="J58" s="250">
        <v>947.8767180000001</v>
      </c>
      <c r="K58" s="253" t="s">
        <v>683</v>
      </c>
      <c r="L58" s="250">
        <v>268.60000000000002</v>
      </c>
      <c r="M58" s="250">
        <v>297.02999999999997</v>
      </c>
      <c r="N58" s="243" t="s">
        <v>139</v>
      </c>
      <c r="O58" s="243" t="s">
        <v>621</v>
      </c>
      <c r="P58" s="243" t="s">
        <v>16</v>
      </c>
      <c r="Q58" s="245">
        <v>1980</v>
      </c>
      <c r="R58" s="243" t="s">
        <v>140</v>
      </c>
      <c r="S58" s="243" t="s">
        <v>141</v>
      </c>
      <c r="T58" s="245">
        <v>295.57268391697306</v>
      </c>
      <c r="U58" s="245" t="s">
        <v>704</v>
      </c>
      <c r="V58" s="39" t="s">
        <v>726</v>
      </c>
      <c r="W58" s="8" t="s">
        <v>637</v>
      </c>
      <c r="X58" s="251" t="s">
        <v>782</v>
      </c>
      <c r="Y58" s="195" t="s">
        <v>947</v>
      </c>
      <c r="Z58" s="243"/>
      <c r="AA58" s="243"/>
      <c r="AB58" s="244"/>
      <c r="AC58" s="252" t="str">
        <f t="shared" si="8"/>
        <v>4930611</v>
      </c>
      <c r="AD58" s="252"/>
      <c r="AE58" s="252"/>
      <c r="AF58" s="252" t="s">
        <v>811</v>
      </c>
      <c r="AG58" s="342">
        <v>0.21965748324646311</v>
      </c>
      <c r="AH58" s="343">
        <v>98674414</v>
      </c>
      <c r="AI58" s="180">
        <v>7439976</v>
      </c>
      <c r="AL58" s="330" t="s">
        <v>894</v>
      </c>
      <c r="AM58" s="192">
        <f t="shared" si="9"/>
        <v>166</v>
      </c>
      <c r="AN58" s="18">
        <v>10</v>
      </c>
    </row>
    <row r="59" spans="1:41" s="18" customFormat="1" ht="24.95" customHeight="1">
      <c r="A59" s="3" t="s">
        <v>149</v>
      </c>
      <c r="B59" s="3" t="s">
        <v>148</v>
      </c>
      <c r="C59" s="3" t="s">
        <v>476</v>
      </c>
      <c r="D59" s="5" t="s">
        <v>541</v>
      </c>
      <c r="E59" s="3" t="s">
        <v>143</v>
      </c>
      <c r="F59" s="5" t="s">
        <v>540</v>
      </c>
      <c r="G59" s="3" t="s">
        <v>144</v>
      </c>
      <c r="H59" s="3" t="s">
        <v>15</v>
      </c>
      <c r="I59" s="11" t="s">
        <v>681</v>
      </c>
      <c r="J59" s="5">
        <v>354.81683800000002</v>
      </c>
      <c r="K59" s="35" t="s">
        <v>56</v>
      </c>
      <c r="L59" s="5">
        <v>0.32563999999999999</v>
      </c>
      <c r="M59" s="17"/>
      <c r="N59" s="243" t="s">
        <v>145</v>
      </c>
      <c r="O59" s="3" t="s">
        <v>613</v>
      </c>
      <c r="P59" s="3" t="s">
        <v>16</v>
      </c>
      <c r="Q59" s="5">
        <v>2008</v>
      </c>
      <c r="R59" s="3" t="s">
        <v>146</v>
      </c>
      <c r="S59" s="3" t="s">
        <v>147</v>
      </c>
      <c r="T59" s="5">
        <v>174.90882639687732</v>
      </c>
      <c r="U59" s="5" t="s">
        <v>475</v>
      </c>
      <c r="V59" s="46" t="s">
        <v>728</v>
      </c>
      <c r="W59" s="37" t="s">
        <v>637</v>
      </c>
      <c r="X59" s="170" t="s">
        <v>876</v>
      </c>
      <c r="Y59" s="171" t="s">
        <v>877</v>
      </c>
      <c r="Z59" s="172" t="s">
        <v>878</v>
      </c>
      <c r="AA59" s="173" t="s">
        <v>869</v>
      </c>
      <c r="AB59" s="92">
        <v>1</v>
      </c>
      <c r="AC59" s="74" t="str">
        <f t="shared" si="5"/>
        <v>4947711</v>
      </c>
      <c r="AD59" s="74"/>
      <c r="AE59" s="74"/>
      <c r="AF59" s="74" t="s">
        <v>810</v>
      </c>
      <c r="AG59" s="74"/>
      <c r="AH59" s="75"/>
      <c r="AI59" s="180">
        <v>7439976</v>
      </c>
      <c r="AM59" s="192">
        <f t="shared" si="1"/>
        <v>0</v>
      </c>
      <c r="AO59" s="208" t="s">
        <v>920</v>
      </c>
    </row>
    <row r="60" spans="1:41" s="18" customFormat="1" ht="24.95" customHeight="1">
      <c r="A60" s="243" t="s">
        <v>149</v>
      </c>
      <c r="B60" s="243" t="s">
        <v>148</v>
      </c>
      <c r="C60" s="243" t="s">
        <v>476</v>
      </c>
      <c r="D60" s="245" t="s">
        <v>541</v>
      </c>
      <c r="E60" s="243" t="s">
        <v>143</v>
      </c>
      <c r="F60" s="245" t="s">
        <v>540</v>
      </c>
      <c r="G60" s="243" t="s">
        <v>144</v>
      </c>
      <c r="H60" s="243" t="s">
        <v>15</v>
      </c>
      <c r="I60" s="246" t="s">
        <v>681</v>
      </c>
      <c r="J60" s="245">
        <v>354.81683800000002</v>
      </c>
      <c r="K60" s="253" t="s">
        <v>56</v>
      </c>
      <c r="L60" s="245">
        <v>0.32563999999999999</v>
      </c>
      <c r="M60" s="248"/>
      <c r="N60" s="243" t="s">
        <v>145</v>
      </c>
      <c r="O60" s="243" t="s">
        <v>613</v>
      </c>
      <c r="P60" s="243" t="s">
        <v>16</v>
      </c>
      <c r="Q60" s="245">
        <v>2008</v>
      </c>
      <c r="R60" s="243" t="s">
        <v>146</v>
      </c>
      <c r="S60" s="243" t="s">
        <v>147</v>
      </c>
      <c r="T60" s="245">
        <v>174.90882639687732</v>
      </c>
      <c r="U60" s="245" t="s">
        <v>475</v>
      </c>
      <c r="V60" s="46" t="s">
        <v>728</v>
      </c>
      <c r="W60" s="37" t="s">
        <v>637</v>
      </c>
      <c r="X60" s="170" t="s">
        <v>876</v>
      </c>
      <c r="Y60" s="171" t="s">
        <v>877</v>
      </c>
      <c r="Z60" s="172" t="s">
        <v>878</v>
      </c>
      <c r="AA60" s="173" t="s">
        <v>869</v>
      </c>
      <c r="AB60" s="92">
        <v>1</v>
      </c>
      <c r="AC60" s="74" t="str">
        <f t="shared" ref="AC60" si="10">E60</f>
        <v>4947711</v>
      </c>
      <c r="AD60" s="74"/>
      <c r="AE60" s="74"/>
      <c r="AF60" s="74" t="s">
        <v>811</v>
      </c>
      <c r="AG60" s="74">
        <v>1</v>
      </c>
      <c r="AH60" s="75">
        <v>14539514</v>
      </c>
      <c r="AI60" s="180">
        <v>7439976</v>
      </c>
      <c r="AL60" s="330" t="s">
        <v>894</v>
      </c>
      <c r="AM60" s="192">
        <f t="shared" ref="AM60" si="11">LEN(AL60)</f>
        <v>166</v>
      </c>
      <c r="AN60" s="18">
        <v>10</v>
      </c>
      <c r="AO60" s="328" t="s">
        <v>635</v>
      </c>
    </row>
    <row r="61" spans="1:41" s="18" customFormat="1" ht="24.95" customHeight="1">
      <c r="A61" s="3" t="s">
        <v>155</v>
      </c>
      <c r="B61" s="3" t="s">
        <v>148</v>
      </c>
      <c r="C61" s="3" t="s">
        <v>494</v>
      </c>
      <c r="D61" s="5" t="s">
        <v>541</v>
      </c>
      <c r="E61" s="3" t="s">
        <v>150</v>
      </c>
      <c r="F61" s="5" t="s">
        <v>542</v>
      </c>
      <c r="G61" s="3" t="s">
        <v>151</v>
      </c>
      <c r="H61" s="3" t="s">
        <v>15</v>
      </c>
      <c r="I61" s="11" t="s">
        <v>681</v>
      </c>
      <c r="J61" s="5">
        <v>151</v>
      </c>
      <c r="K61" s="35" t="s">
        <v>14</v>
      </c>
      <c r="L61" s="5">
        <v>69.386840000000063</v>
      </c>
      <c r="M61" s="5">
        <v>69.745999999999995</v>
      </c>
      <c r="N61" s="243" t="s">
        <v>152</v>
      </c>
      <c r="O61" s="3" t="s">
        <v>613</v>
      </c>
      <c r="P61" s="3" t="s">
        <v>16</v>
      </c>
      <c r="Q61" s="5">
        <v>2008</v>
      </c>
      <c r="R61" s="3" t="s">
        <v>153</v>
      </c>
      <c r="S61" s="3" t="s">
        <v>154</v>
      </c>
      <c r="T61" s="5">
        <v>244.34224739451741</v>
      </c>
      <c r="U61" s="5" t="s">
        <v>705</v>
      </c>
      <c r="V61" s="45" t="s">
        <v>636</v>
      </c>
      <c r="W61" s="37" t="s">
        <v>637</v>
      </c>
      <c r="X61" s="170" t="s">
        <v>876</v>
      </c>
      <c r="Y61" s="314" t="s">
        <v>879</v>
      </c>
      <c r="Z61" s="172" t="s">
        <v>880</v>
      </c>
      <c r="AA61" s="173" t="s">
        <v>869</v>
      </c>
      <c r="AB61" s="92">
        <v>1</v>
      </c>
      <c r="AC61" s="74" t="str">
        <f t="shared" si="5"/>
        <v>4951411</v>
      </c>
      <c r="AD61" s="74"/>
      <c r="AE61" s="74">
        <v>299</v>
      </c>
      <c r="AF61" s="74" t="s">
        <v>810</v>
      </c>
      <c r="AG61" s="74">
        <v>1</v>
      </c>
      <c r="AH61" s="75" t="s">
        <v>879</v>
      </c>
      <c r="AI61" s="180">
        <v>7439976</v>
      </c>
      <c r="AM61" s="192">
        <f t="shared" si="1"/>
        <v>0</v>
      </c>
      <c r="AO61" s="315" t="s">
        <v>999</v>
      </c>
    </row>
    <row r="62" spans="1:41" s="18" customFormat="1" ht="24.95" customHeight="1">
      <c r="A62" s="243" t="s">
        <v>155</v>
      </c>
      <c r="B62" s="243" t="s">
        <v>148</v>
      </c>
      <c r="C62" s="243" t="s">
        <v>494</v>
      </c>
      <c r="D62" s="245" t="s">
        <v>541</v>
      </c>
      <c r="E62" s="243" t="s">
        <v>150</v>
      </c>
      <c r="F62" s="245" t="s">
        <v>542</v>
      </c>
      <c r="G62" s="243" t="s">
        <v>151</v>
      </c>
      <c r="H62" s="243" t="s">
        <v>15</v>
      </c>
      <c r="I62" s="246" t="s">
        <v>681</v>
      </c>
      <c r="J62" s="245">
        <v>151</v>
      </c>
      <c r="K62" s="253" t="s">
        <v>14</v>
      </c>
      <c r="L62" s="245">
        <v>69.386840000000063</v>
      </c>
      <c r="M62" s="245">
        <v>69.745999999999995</v>
      </c>
      <c r="N62" s="243" t="s">
        <v>152</v>
      </c>
      <c r="O62" s="243" t="s">
        <v>613</v>
      </c>
      <c r="P62" s="243" t="s">
        <v>16</v>
      </c>
      <c r="Q62" s="245">
        <v>2008</v>
      </c>
      <c r="R62" s="243" t="s">
        <v>153</v>
      </c>
      <c r="S62" s="243" t="s">
        <v>154</v>
      </c>
      <c r="T62" s="245">
        <v>244.34224739451741</v>
      </c>
      <c r="U62" s="245" t="s">
        <v>705</v>
      </c>
      <c r="V62" s="45" t="s">
        <v>636</v>
      </c>
      <c r="W62" s="37" t="s">
        <v>637</v>
      </c>
      <c r="X62" s="170" t="s">
        <v>876</v>
      </c>
      <c r="Y62" s="314" t="s">
        <v>879</v>
      </c>
      <c r="Z62" s="172" t="s">
        <v>880</v>
      </c>
      <c r="AA62" s="173" t="s">
        <v>869</v>
      </c>
      <c r="AB62" s="92">
        <v>1</v>
      </c>
      <c r="AC62" s="74" t="str">
        <f t="shared" ref="AC62" si="12">E62</f>
        <v>4951411</v>
      </c>
      <c r="AD62" s="74"/>
      <c r="AE62" s="74" t="s">
        <v>635</v>
      </c>
      <c r="AF62" s="74" t="s">
        <v>811</v>
      </c>
      <c r="AG62" s="74">
        <v>1</v>
      </c>
      <c r="AH62" s="340">
        <v>15420314</v>
      </c>
      <c r="AI62" s="180">
        <v>7439976</v>
      </c>
      <c r="AL62" s="330" t="s">
        <v>894</v>
      </c>
      <c r="AM62" s="192">
        <f t="shared" ref="AM62" si="13">LEN(AL62)</f>
        <v>166</v>
      </c>
      <c r="AN62" s="18">
        <v>10</v>
      </c>
      <c r="AO62" s="328" t="s">
        <v>635</v>
      </c>
    </row>
    <row r="63" spans="1:41" s="18" customFormat="1" ht="24.95" customHeight="1">
      <c r="A63" s="3" t="s">
        <v>161</v>
      </c>
      <c r="B63" s="3" t="s">
        <v>148</v>
      </c>
      <c r="C63" s="3" t="s">
        <v>495</v>
      </c>
      <c r="D63" s="5" t="s">
        <v>541</v>
      </c>
      <c r="E63" s="3" t="s">
        <v>156</v>
      </c>
      <c r="F63" s="5" t="s">
        <v>543</v>
      </c>
      <c r="G63" s="3" t="s">
        <v>157</v>
      </c>
      <c r="H63" s="3" t="s">
        <v>15</v>
      </c>
      <c r="I63" s="11" t="s">
        <v>681</v>
      </c>
      <c r="J63" s="5">
        <v>421.10299999999995</v>
      </c>
      <c r="K63" s="35" t="s">
        <v>14</v>
      </c>
      <c r="L63" s="23">
        <v>190.24300160000001</v>
      </c>
      <c r="M63" s="5">
        <v>193.48</v>
      </c>
      <c r="N63" s="243" t="s">
        <v>158</v>
      </c>
      <c r="O63" s="3" t="s">
        <v>613</v>
      </c>
      <c r="P63" s="3" t="s">
        <v>16</v>
      </c>
      <c r="Q63" s="5">
        <v>2008</v>
      </c>
      <c r="R63" s="3" t="s">
        <v>159</v>
      </c>
      <c r="S63" s="3" t="s">
        <v>160</v>
      </c>
      <c r="T63" s="5">
        <v>332.2127498077889</v>
      </c>
      <c r="U63" s="5" t="s">
        <v>706</v>
      </c>
      <c r="V63" s="12" t="s">
        <v>509</v>
      </c>
      <c r="W63" s="37" t="s">
        <v>637</v>
      </c>
      <c r="X63" s="170" t="s">
        <v>876</v>
      </c>
      <c r="Y63" s="297" t="s">
        <v>881</v>
      </c>
      <c r="Z63" s="172" t="s">
        <v>882</v>
      </c>
      <c r="AA63" s="173" t="s">
        <v>869</v>
      </c>
      <c r="AB63" s="92">
        <v>9</v>
      </c>
      <c r="AC63" s="74" t="str">
        <f t="shared" si="5"/>
        <v>4953011</v>
      </c>
      <c r="AD63" s="74"/>
      <c r="AE63" s="74" t="s">
        <v>635</v>
      </c>
      <c r="AF63" s="74" t="s">
        <v>810</v>
      </c>
      <c r="AG63" s="74" t="s">
        <v>635</v>
      </c>
      <c r="AH63" s="298" t="s">
        <v>881</v>
      </c>
      <c r="AI63" s="180">
        <v>7439976</v>
      </c>
      <c r="AM63" s="192">
        <f t="shared" si="1"/>
        <v>0</v>
      </c>
      <c r="AO63" s="208" t="s">
        <v>920</v>
      </c>
    </row>
    <row r="64" spans="1:41" s="18" customFormat="1" ht="24.95" customHeight="1">
      <c r="A64" s="156" t="s">
        <v>161</v>
      </c>
      <c r="B64" s="156" t="s">
        <v>148</v>
      </c>
      <c r="C64" s="156" t="s">
        <v>495</v>
      </c>
      <c r="D64" s="157" t="s">
        <v>541</v>
      </c>
      <c r="E64" s="156" t="s">
        <v>156</v>
      </c>
      <c r="F64" s="157" t="s">
        <v>543</v>
      </c>
      <c r="G64" s="156" t="s">
        <v>157</v>
      </c>
      <c r="H64" s="156" t="s">
        <v>15</v>
      </c>
      <c r="I64" s="158" t="s">
        <v>681</v>
      </c>
      <c r="J64" s="157">
        <v>421.10299999999995</v>
      </c>
      <c r="K64" s="161" t="s">
        <v>14</v>
      </c>
      <c r="L64" s="23">
        <v>190.24300160000001</v>
      </c>
      <c r="M64" s="157">
        <v>193.48</v>
      </c>
      <c r="N64" s="156" t="s">
        <v>158</v>
      </c>
      <c r="O64" s="156" t="s">
        <v>613</v>
      </c>
      <c r="P64" s="156" t="s">
        <v>16</v>
      </c>
      <c r="Q64" s="157">
        <v>2008</v>
      </c>
      <c r="R64" s="156" t="s">
        <v>159</v>
      </c>
      <c r="S64" s="156" t="s">
        <v>160</v>
      </c>
      <c r="T64" s="157">
        <v>332.2127498077889</v>
      </c>
      <c r="U64" s="157" t="s">
        <v>706</v>
      </c>
      <c r="V64" s="12" t="s">
        <v>509</v>
      </c>
      <c r="W64" s="37" t="s">
        <v>637</v>
      </c>
      <c r="X64" s="170" t="s">
        <v>876</v>
      </c>
      <c r="Y64" s="297" t="s">
        <v>883</v>
      </c>
      <c r="Z64" s="88" t="s">
        <v>884</v>
      </c>
      <c r="AA64" s="173" t="s">
        <v>869</v>
      </c>
      <c r="AB64" s="92">
        <v>10</v>
      </c>
      <c r="AC64" s="74" t="str">
        <f>E64</f>
        <v>4953011</v>
      </c>
      <c r="AD64" s="74"/>
      <c r="AE64" s="74" t="s">
        <v>635</v>
      </c>
      <c r="AF64" s="74" t="s">
        <v>810</v>
      </c>
      <c r="AG64" s="74" t="s">
        <v>635</v>
      </c>
      <c r="AH64" s="75" t="s">
        <v>973</v>
      </c>
      <c r="AI64" s="180">
        <v>7439976</v>
      </c>
      <c r="AM64" s="192">
        <f t="shared" si="1"/>
        <v>0</v>
      </c>
      <c r="AO64" s="208" t="s">
        <v>920</v>
      </c>
    </row>
    <row r="65" spans="1:41" s="18" customFormat="1" ht="24.95" customHeight="1">
      <c r="A65" s="243" t="s">
        <v>161</v>
      </c>
      <c r="B65" s="243" t="s">
        <v>148</v>
      </c>
      <c r="C65" s="243" t="s">
        <v>495</v>
      </c>
      <c r="D65" s="245" t="s">
        <v>541</v>
      </c>
      <c r="E65" s="243" t="s">
        <v>156</v>
      </c>
      <c r="F65" s="245" t="s">
        <v>543</v>
      </c>
      <c r="G65" s="243" t="s">
        <v>157</v>
      </c>
      <c r="H65" s="243" t="s">
        <v>15</v>
      </c>
      <c r="I65" s="246" t="s">
        <v>681</v>
      </c>
      <c r="J65" s="245">
        <v>421.10299999999995</v>
      </c>
      <c r="K65" s="253" t="s">
        <v>14</v>
      </c>
      <c r="L65" s="250">
        <v>190.24300160000001</v>
      </c>
      <c r="M65" s="245">
        <v>193.48</v>
      </c>
      <c r="N65" s="243" t="s">
        <v>158</v>
      </c>
      <c r="O65" s="243" t="s">
        <v>613</v>
      </c>
      <c r="P65" s="243" t="s">
        <v>16</v>
      </c>
      <c r="Q65" s="245">
        <v>2008</v>
      </c>
      <c r="R65" s="243" t="s">
        <v>159</v>
      </c>
      <c r="S65" s="243" t="s">
        <v>160</v>
      </c>
      <c r="T65" s="245">
        <v>332.2127498077889</v>
      </c>
      <c r="U65" s="245" t="s">
        <v>706</v>
      </c>
      <c r="V65" s="12" t="s">
        <v>509</v>
      </c>
      <c r="W65" s="37" t="s">
        <v>637</v>
      </c>
      <c r="X65" s="170" t="s">
        <v>876</v>
      </c>
      <c r="Y65" s="297" t="s">
        <v>881</v>
      </c>
      <c r="Z65" s="172" t="s">
        <v>882</v>
      </c>
      <c r="AA65" s="173" t="s">
        <v>869</v>
      </c>
      <c r="AB65" s="92">
        <v>9</v>
      </c>
      <c r="AC65" s="74" t="str">
        <f t="shared" ref="AC65" si="14">E65</f>
        <v>4953011</v>
      </c>
      <c r="AD65" s="74"/>
      <c r="AE65" s="74" t="s">
        <v>635</v>
      </c>
      <c r="AF65" s="74" t="s">
        <v>811</v>
      </c>
      <c r="AG65" s="74">
        <v>1</v>
      </c>
      <c r="AH65" s="298">
        <v>96329214</v>
      </c>
      <c r="AI65" s="180">
        <v>7439976</v>
      </c>
      <c r="AL65" s="328" t="s">
        <v>1044</v>
      </c>
      <c r="AM65" s="192">
        <f t="shared" ref="AM65" si="15">LEN(AL65)</f>
        <v>225</v>
      </c>
      <c r="AN65" s="18">
        <v>10</v>
      </c>
      <c r="AO65" s="249" t="s">
        <v>920</v>
      </c>
    </row>
    <row r="66" spans="1:41" s="18" customFormat="1" ht="24.95" customHeight="1">
      <c r="A66" s="3" t="s">
        <v>167</v>
      </c>
      <c r="B66" s="3" t="s">
        <v>68</v>
      </c>
      <c r="C66" s="3" t="s">
        <v>649</v>
      </c>
      <c r="D66" s="5" t="s">
        <v>523</v>
      </c>
      <c r="E66" s="3" t="s">
        <v>162</v>
      </c>
      <c r="F66" s="5" t="s">
        <v>544</v>
      </c>
      <c r="G66" s="3" t="s">
        <v>163</v>
      </c>
      <c r="H66" s="3" t="s">
        <v>15</v>
      </c>
      <c r="I66" s="11" t="s">
        <v>681</v>
      </c>
      <c r="J66" s="5">
        <v>18.897500000000001</v>
      </c>
      <c r="K66" s="35" t="s">
        <v>56</v>
      </c>
      <c r="M66" s="17"/>
      <c r="N66" s="3" t="s">
        <v>164</v>
      </c>
      <c r="O66" s="3" t="s">
        <v>622</v>
      </c>
      <c r="P66" s="3" t="s">
        <v>16</v>
      </c>
      <c r="Q66" s="5">
        <v>2008</v>
      </c>
      <c r="R66" s="3" t="s">
        <v>165</v>
      </c>
      <c r="S66" s="3" t="s">
        <v>166</v>
      </c>
      <c r="T66" s="5" t="s">
        <v>8</v>
      </c>
      <c r="U66" s="5" t="s">
        <v>635</v>
      </c>
      <c r="V66" s="15" t="s">
        <v>754</v>
      </c>
      <c r="W66" s="58" t="s">
        <v>760</v>
      </c>
      <c r="X66" s="226" t="s">
        <v>819</v>
      </c>
      <c r="Y66" s="225" t="s">
        <v>899</v>
      </c>
      <c r="Z66" s="3"/>
      <c r="AA66" s="3"/>
      <c r="AB66" s="4"/>
      <c r="AC66" s="119" t="str">
        <f t="shared" si="5"/>
        <v>4967711</v>
      </c>
      <c r="AD66" s="209" t="s">
        <v>910</v>
      </c>
      <c r="AE66" s="160">
        <f>ROUND(97402*0.000248,2)</f>
        <v>24.16</v>
      </c>
      <c r="AF66" s="252" t="s">
        <v>966</v>
      </c>
      <c r="AG66" s="26">
        <v>1</v>
      </c>
      <c r="AH66" s="317">
        <v>15137214</v>
      </c>
      <c r="AI66" s="180">
        <v>7439976</v>
      </c>
      <c r="AK66" s="78">
        <v>40836</v>
      </c>
      <c r="AL66" s="315" t="s">
        <v>1017</v>
      </c>
      <c r="AM66" s="192">
        <f t="shared" si="1"/>
        <v>165</v>
      </c>
      <c r="AN66" s="18">
        <v>13</v>
      </c>
    </row>
    <row r="67" spans="1:41" s="18" customFormat="1" ht="24.95" customHeight="1">
      <c r="A67" s="3" t="s">
        <v>69</v>
      </c>
      <c r="B67" s="3" t="s">
        <v>68</v>
      </c>
      <c r="C67" s="3" t="s">
        <v>472</v>
      </c>
      <c r="D67" s="23" t="s">
        <v>523</v>
      </c>
      <c r="E67" s="3" t="s">
        <v>168</v>
      </c>
      <c r="F67" s="23" t="s">
        <v>545</v>
      </c>
      <c r="G67" s="3" t="s">
        <v>8</v>
      </c>
      <c r="H67" s="3" t="s">
        <v>8</v>
      </c>
      <c r="I67" s="11" t="s">
        <v>681</v>
      </c>
      <c r="J67" s="17"/>
      <c r="K67" s="35" t="s">
        <v>635</v>
      </c>
      <c r="L67" s="3"/>
      <c r="M67" s="17"/>
      <c r="N67" s="3" t="s">
        <v>169</v>
      </c>
      <c r="O67" s="3" t="s">
        <v>623</v>
      </c>
      <c r="P67" s="3" t="s">
        <v>16</v>
      </c>
      <c r="Q67" s="5">
        <v>2008</v>
      </c>
      <c r="R67" s="3" t="s">
        <v>170</v>
      </c>
      <c r="S67" s="3" t="s">
        <v>67</v>
      </c>
      <c r="T67" s="5">
        <v>4.4044498819214531E-2</v>
      </c>
      <c r="U67" s="5" t="s">
        <v>471</v>
      </c>
      <c r="V67" s="37" t="s">
        <v>729</v>
      </c>
      <c r="W67" s="18" t="s">
        <v>684</v>
      </c>
      <c r="X67" s="224" t="s">
        <v>819</v>
      </c>
      <c r="Y67" s="223" t="s">
        <v>923</v>
      </c>
      <c r="Z67" s="3"/>
      <c r="AA67" s="3"/>
      <c r="AB67" s="4"/>
      <c r="AC67" s="119" t="str">
        <f t="shared" si="5"/>
        <v>4968111</v>
      </c>
      <c r="AD67" s="160"/>
      <c r="AE67" s="26">
        <f>ROUND(0.000023*16836.2,2)</f>
        <v>0.39</v>
      </c>
      <c r="AF67" s="252" t="s">
        <v>966</v>
      </c>
      <c r="AG67" s="26">
        <v>1</v>
      </c>
      <c r="AH67" s="317">
        <v>15129314</v>
      </c>
      <c r="AI67" s="180">
        <v>7439976</v>
      </c>
      <c r="AK67" s="78">
        <v>40836</v>
      </c>
      <c r="AL67" s="198" t="s">
        <v>921</v>
      </c>
      <c r="AM67" s="192">
        <f t="shared" si="1"/>
        <v>154</v>
      </c>
      <c r="AN67" s="18">
        <v>10</v>
      </c>
    </row>
    <row r="68" spans="1:41" s="18" customFormat="1" ht="24.95" customHeight="1">
      <c r="A68" s="243" t="s">
        <v>69</v>
      </c>
      <c r="B68" s="243" t="s">
        <v>68</v>
      </c>
      <c r="C68" s="243" t="s">
        <v>472</v>
      </c>
      <c r="D68" s="250" t="s">
        <v>523</v>
      </c>
      <c r="E68" s="243" t="s">
        <v>168</v>
      </c>
      <c r="F68" s="250" t="s">
        <v>545</v>
      </c>
      <c r="G68" s="243" t="s">
        <v>8</v>
      </c>
      <c r="H68" s="243" t="s">
        <v>8</v>
      </c>
      <c r="I68" s="246" t="s">
        <v>681</v>
      </c>
      <c r="J68" s="248"/>
      <c r="K68" s="253" t="s">
        <v>635</v>
      </c>
      <c r="L68" s="243"/>
      <c r="M68" s="248"/>
      <c r="N68" s="243" t="s">
        <v>169</v>
      </c>
      <c r="O68" s="243" t="s">
        <v>623</v>
      </c>
      <c r="P68" s="243" t="s">
        <v>16</v>
      </c>
      <c r="Q68" s="245">
        <v>2008</v>
      </c>
      <c r="R68" s="243" t="s">
        <v>170</v>
      </c>
      <c r="S68" s="243" t="s">
        <v>67</v>
      </c>
      <c r="T68" s="245">
        <v>4.4044498819214531E-2</v>
      </c>
      <c r="U68" s="245" t="s">
        <v>471</v>
      </c>
      <c r="V68" s="37" t="s">
        <v>729</v>
      </c>
      <c r="W68" s="18" t="s">
        <v>684</v>
      </c>
      <c r="X68" s="255" t="s">
        <v>819</v>
      </c>
      <c r="Y68" s="254" t="s">
        <v>923</v>
      </c>
      <c r="Z68" s="243"/>
      <c r="AA68" s="243"/>
      <c r="AB68" s="244"/>
      <c r="AC68" s="252" t="str">
        <f>E68</f>
        <v>4968111</v>
      </c>
      <c r="AD68" s="252"/>
      <c r="AE68" s="252">
        <f>ROUND(0.000023*16836.2,2)</f>
        <v>0.39</v>
      </c>
      <c r="AF68" s="252" t="s">
        <v>811</v>
      </c>
      <c r="AG68" s="252">
        <v>1</v>
      </c>
      <c r="AH68" s="317">
        <v>15129314</v>
      </c>
      <c r="AI68" s="180">
        <v>7439976</v>
      </c>
      <c r="AK68" s="78">
        <v>40862</v>
      </c>
      <c r="AL68" s="198" t="s">
        <v>921</v>
      </c>
      <c r="AM68" s="192">
        <f t="shared" si="1"/>
        <v>154</v>
      </c>
      <c r="AN68" s="18">
        <v>10</v>
      </c>
    </row>
    <row r="69" spans="1:41" s="18" customFormat="1" ht="24.95" customHeight="1">
      <c r="A69" s="3" t="s">
        <v>177</v>
      </c>
      <c r="B69" s="3" t="s">
        <v>176</v>
      </c>
      <c r="C69" s="3" t="s">
        <v>490</v>
      </c>
      <c r="D69" s="5" t="s">
        <v>547</v>
      </c>
      <c r="E69" s="10" t="s">
        <v>171</v>
      </c>
      <c r="F69" s="5" t="s">
        <v>546</v>
      </c>
      <c r="G69" s="3" t="s">
        <v>172</v>
      </c>
      <c r="H69" s="3" t="s">
        <v>15</v>
      </c>
      <c r="I69" s="11" t="s">
        <v>681</v>
      </c>
      <c r="J69" s="5">
        <v>260.65516000000002</v>
      </c>
      <c r="K69" s="35" t="s">
        <v>56</v>
      </c>
      <c r="M69" s="3"/>
      <c r="N69" s="3" t="s">
        <v>173</v>
      </c>
      <c r="O69" s="3" t="s">
        <v>613</v>
      </c>
      <c r="P69" s="3" t="s">
        <v>16</v>
      </c>
      <c r="Q69" s="5">
        <v>2008</v>
      </c>
      <c r="R69" s="3" t="s">
        <v>174</v>
      </c>
      <c r="S69" s="3" t="s">
        <v>175</v>
      </c>
      <c r="T69" s="5">
        <v>206.86758237303067</v>
      </c>
      <c r="U69" s="5" t="s">
        <v>489</v>
      </c>
      <c r="V69" s="45" t="s">
        <v>687</v>
      </c>
      <c r="W69" s="18" t="s">
        <v>684</v>
      </c>
      <c r="X69" s="105" t="s">
        <v>806</v>
      </c>
      <c r="Y69" s="106" t="s">
        <v>827</v>
      </c>
      <c r="Z69" s="3" t="s">
        <v>828</v>
      </c>
      <c r="AA69" s="3" t="s">
        <v>829</v>
      </c>
      <c r="AB69" s="4" t="s">
        <v>830</v>
      </c>
      <c r="AC69" s="119" t="str">
        <f t="shared" si="5"/>
        <v>5198911</v>
      </c>
      <c r="AD69" s="160"/>
      <c r="AE69" s="26"/>
      <c r="AF69" s="160" t="s">
        <v>811</v>
      </c>
      <c r="AG69" s="26">
        <f>ROUND(0.100845712860959,4)</f>
        <v>0.1008</v>
      </c>
      <c r="AH69" s="323">
        <v>39854214</v>
      </c>
      <c r="AI69" s="180">
        <v>7439976</v>
      </c>
      <c r="AJ69" s="105" t="s">
        <v>838</v>
      </c>
      <c r="AL69" s="315" t="s">
        <v>1022</v>
      </c>
      <c r="AM69" s="192">
        <f t="shared" si="1"/>
        <v>237</v>
      </c>
      <c r="AN69" s="18">
        <v>10</v>
      </c>
    </row>
    <row r="70" spans="1:41" s="18" customFormat="1" ht="24.95" customHeight="1">
      <c r="A70" s="3" t="s">
        <v>177</v>
      </c>
      <c r="B70" s="3" t="s">
        <v>176</v>
      </c>
      <c r="C70" s="3" t="s">
        <v>490</v>
      </c>
      <c r="D70" s="5" t="s">
        <v>547</v>
      </c>
      <c r="E70" s="10" t="s">
        <v>171</v>
      </c>
      <c r="F70" s="5" t="s">
        <v>546</v>
      </c>
      <c r="G70" s="3" t="s">
        <v>172</v>
      </c>
      <c r="H70" s="3" t="s">
        <v>15</v>
      </c>
      <c r="I70" s="11" t="s">
        <v>681</v>
      </c>
      <c r="J70" s="5">
        <v>260.65516000000002</v>
      </c>
      <c r="K70" s="35" t="s">
        <v>56</v>
      </c>
      <c r="M70" s="3"/>
      <c r="N70" s="3" t="s">
        <v>173</v>
      </c>
      <c r="O70" s="3" t="s">
        <v>613</v>
      </c>
      <c r="P70" s="3" t="s">
        <v>16</v>
      </c>
      <c r="Q70" s="5">
        <v>2008</v>
      </c>
      <c r="R70" s="3" t="s">
        <v>174</v>
      </c>
      <c r="S70" s="3" t="s">
        <v>175</v>
      </c>
      <c r="T70" s="5">
        <v>206.86758237303067</v>
      </c>
      <c r="U70" s="5" t="s">
        <v>489</v>
      </c>
      <c r="V70" s="45" t="s">
        <v>687</v>
      </c>
      <c r="W70" s="18" t="s">
        <v>684</v>
      </c>
      <c r="X70" s="105" t="s">
        <v>806</v>
      </c>
      <c r="Y70" s="106" t="s">
        <v>827</v>
      </c>
      <c r="Z70" s="3" t="s">
        <v>828</v>
      </c>
      <c r="AA70" s="3" t="s">
        <v>829</v>
      </c>
      <c r="AB70" s="4" t="s">
        <v>830</v>
      </c>
      <c r="AC70" s="119" t="str">
        <f t="shared" si="5"/>
        <v>5198911</v>
      </c>
      <c r="AD70" s="160"/>
      <c r="AE70" s="26"/>
      <c r="AF70" s="160" t="s">
        <v>811</v>
      </c>
      <c r="AG70" s="26">
        <f>ROUND(0.899154287139041,4)</f>
        <v>0.8992</v>
      </c>
      <c r="AH70" s="323">
        <v>107014214</v>
      </c>
      <c r="AI70" s="180">
        <v>7439976</v>
      </c>
      <c r="AJ70" s="105" t="s">
        <v>837</v>
      </c>
      <c r="AL70" s="315" t="s">
        <v>1022</v>
      </c>
      <c r="AM70" s="192">
        <f t="shared" si="1"/>
        <v>237</v>
      </c>
      <c r="AN70" s="18">
        <v>10</v>
      </c>
    </row>
    <row r="71" spans="1:41" s="18" customFormat="1" ht="24.95" customHeight="1">
      <c r="A71" s="3" t="s">
        <v>182</v>
      </c>
      <c r="B71" s="3" t="s">
        <v>176</v>
      </c>
      <c r="C71" s="3" t="s">
        <v>657</v>
      </c>
      <c r="D71" s="5" t="s">
        <v>547</v>
      </c>
      <c r="E71" s="3" t="s">
        <v>178</v>
      </c>
      <c r="F71" s="5" t="s">
        <v>548</v>
      </c>
      <c r="G71" s="3" t="s">
        <v>8</v>
      </c>
      <c r="H71" s="3" t="s">
        <v>8</v>
      </c>
      <c r="I71" s="11" t="s">
        <v>681</v>
      </c>
      <c r="J71" s="3"/>
      <c r="K71" s="35" t="s">
        <v>635</v>
      </c>
      <c r="L71" s="17"/>
      <c r="M71" s="17"/>
      <c r="N71" s="3" t="s">
        <v>179</v>
      </c>
      <c r="O71" s="3" t="s">
        <v>613</v>
      </c>
      <c r="P71" s="3" t="s">
        <v>16</v>
      </c>
      <c r="Q71" s="5">
        <v>2008</v>
      </c>
      <c r="R71" s="3" t="s">
        <v>180</v>
      </c>
      <c r="S71" s="3" t="s">
        <v>181</v>
      </c>
      <c r="T71" s="5" t="s">
        <v>8</v>
      </c>
      <c r="U71" s="5" t="s">
        <v>635</v>
      </c>
      <c r="V71" s="38" t="s">
        <v>688</v>
      </c>
      <c r="W71" s="47" t="s">
        <v>692</v>
      </c>
      <c r="X71" s="105" t="s">
        <v>782</v>
      </c>
      <c r="Y71" s="106" t="s">
        <v>831</v>
      </c>
      <c r="Z71" s="3" t="s">
        <v>832</v>
      </c>
      <c r="AA71" s="3" t="s">
        <v>833</v>
      </c>
      <c r="AB71" s="4" t="s">
        <v>830</v>
      </c>
      <c r="AC71" s="119" t="str">
        <f t="shared" si="5"/>
        <v>5206211</v>
      </c>
      <c r="AD71" s="160"/>
      <c r="AE71" s="26"/>
      <c r="AF71" s="26" t="s">
        <v>810</v>
      </c>
      <c r="AG71" s="26">
        <v>0</v>
      </c>
      <c r="AI71" s="180">
        <v>7439976</v>
      </c>
      <c r="AM71" s="192">
        <f t="shared" si="1"/>
        <v>0</v>
      </c>
      <c r="AO71" s="107" t="s">
        <v>839</v>
      </c>
    </row>
    <row r="72" spans="1:41" s="18" customFormat="1" ht="24.95" customHeight="1">
      <c r="A72" s="3" t="s">
        <v>195</v>
      </c>
      <c r="B72" s="3" t="s">
        <v>83</v>
      </c>
      <c r="C72" s="3" t="s">
        <v>479</v>
      </c>
      <c r="D72" s="23" t="s">
        <v>527</v>
      </c>
      <c r="E72" s="3" t="s">
        <v>190</v>
      </c>
      <c r="F72" s="23" t="s">
        <v>551</v>
      </c>
      <c r="G72" s="3" t="s">
        <v>191</v>
      </c>
      <c r="H72" s="3" t="s">
        <v>15</v>
      </c>
      <c r="I72" s="11" t="s">
        <v>681</v>
      </c>
      <c r="J72" s="23">
        <v>0.05</v>
      </c>
      <c r="K72" s="35" t="s">
        <v>14</v>
      </c>
      <c r="L72" s="17"/>
      <c r="M72" s="17"/>
      <c r="N72" s="3" t="s">
        <v>192</v>
      </c>
      <c r="O72" s="3" t="s">
        <v>327</v>
      </c>
      <c r="P72" s="3" t="s">
        <v>16</v>
      </c>
      <c r="Q72" s="5">
        <v>1979</v>
      </c>
      <c r="R72" s="3" t="s">
        <v>193</v>
      </c>
      <c r="S72" s="3" t="s">
        <v>194</v>
      </c>
      <c r="T72" s="5">
        <v>101.98686946972836</v>
      </c>
      <c r="U72" s="5" t="s">
        <v>750</v>
      </c>
      <c r="V72" s="37" t="s">
        <v>729</v>
      </c>
      <c r="W72" s="28" t="s">
        <v>684</v>
      </c>
      <c r="X72" s="251" t="s">
        <v>806</v>
      </c>
      <c r="Y72" s="19"/>
      <c r="Z72" s="3"/>
      <c r="AA72" s="3"/>
      <c r="AB72" s="4"/>
      <c r="AC72" s="119" t="str">
        <f t="shared" si="5"/>
        <v>5680611</v>
      </c>
      <c r="AD72" s="160"/>
      <c r="AE72" s="26"/>
      <c r="AF72" s="252" t="s">
        <v>811</v>
      </c>
      <c r="AG72" s="26">
        <v>0.7</v>
      </c>
      <c r="AH72" s="242">
        <v>2558914</v>
      </c>
      <c r="AI72" s="180">
        <v>7439976</v>
      </c>
      <c r="AL72" s="249" t="s">
        <v>948</v>
      </c>
      <c r="AM72" s="192">
        <f t="shared" si="1"/>
        <v>211</v>
      </c>
      <c r="AN72" s="18">
        <v>10</v>
      </c>
    </row>
    <row r="73" spans="1:41" s="18" customFormat="1" ht="24.95" customHeight="1">
      <c r="A73" s="243" t="s">
        <v>195</v>
      </c>
      <c r="B73" s="243" t="s">
        <v>83</v>
      </c>
      <c r="C73" s="243" t="s">
        <v>479</v>
      </c>
      <c r="D73" s="250" t="s">
        <v>527</v>
      </c>
      <c r="E73" s="243" t="s">
        <v>190</v>
      </c>
      <c r="F73" s="250" t="s">
        <v>551</v>
      </c>
      <c r="G73" s="243" t="s">
        <v>191</v>
      </c>
      <c r="H73" s="243" t="s">
        <v>15</v>
      </c>
      <c r="I73" s="246" t="s">
        <v>681</v>
      </c>
      <c r="J73" s="250">
        <v>0.05</v>
      </c>
      <c r="K73" s="253" t="s">
        <v>14</v>
      </c>
      <c r="L73" s="248"/>
      <c r="M73" s="248"/>
      <c r="N73" s="243" t="s">
        <v>192</v>
      </c>
      <c r="O73" s="243" t="s">
        <v>327</v>
      </c>
      <c r="P73" s="243" t="s">
        <v>16</v>
      </c>
      <c r="Q73" s="245">
        <v>1979</v>
      </c>
      <c r="R73" s="243" t="s">
        <v>193</v>
      </c>
      <c r="S73" s="243" t="s">
        <v>194</v>
      </c>
      <c r="T73" s="245">
        <v>101.98686946972836</v>
      </c>
      <c r="U73" s="245" t="s">
        <v>750</v>
      </c>
      <c r="V73" s="37" t="s">
        <v>729</v>
      </c>
      <c r="W73" s="28" t="s">
        <v>684</v>
      </c>
      <c r="X73" s="251" t="s">
        <v>806</v>
      </c>
      <c r="Y73" s="19"/>
      <c r="Z73" s="243"/>
      <c r="AA73" s="243"/>
      <c r="AB73" s="244"/>
      <c r="AC73" s="252" t="str">
        <f>E73</f>
        <v>5680611</v>
      </c>
      <c r="AD73" s="252"/>
      <c r="AE73" s="252"/>
      <c r="AF73" s="252" t="s">
        <v>811</v>
      </c>
      <c r="AG73" s="252">
        <v>0.3</v>
      </c>
      <c r="AH73" s="242">
        <v>2559014</v>
      </c>
      <c r="AI73" s="180">
        <v>7439976</v>
      </c>
      <c r="AL73" s="249" t="s">
        <v>948</v>
      </c>
      <c r="AM73" s="192">
        <f t="shared" si="1"/>
        <v>211</v>
      </c>
      <c r="AN73" s="18">
        <v>10</v>
      </c>
    </row>
    <row r="74" spans="1:41" s="18" customFormat="1" ht="24.95" customHeight="1">
      <c r="A74" s="3" t="s">
        <v>201</v>
      </c>
      <c r="B74" s="3" t="s">
        <v>68</v>
      </c>
      <c r="C74" s="3" t="s">
        <v>658</v>
      </c>
      <c r="D74" s="5" t="s">
        <v>523</v>
      </c>
      <c r="E74" s="3" t="s">
        <v>196</v>
      </c>
      <c r="F74" s="5" t="s">
        <v>552</v>
      </c>
      <c r="G74" s="3" t="s">
        <v>197</v>
      </c>
      <c r="H74" s="3" t="s">
        <v>8</v>
      </c>
      <c r="I74" s="11" t="s">
        <v>681</v>
      </c>
      <c r="J74" s="3"/>
      <c r="K74" s="35" t="s">
        <v>635</v>
      </c>
      <c r="M74" s="3"/>
      <c r="N74" s="3" t="s">
        <v>198</v>
      </c>
      <c r="O74" s="3" t="s">
        <v>624</v>
      </c>
      <c r="P74" s="3" t="s">
        <v>16</v>
      </c>
      <c r="Q74" s="5">
        <v>2008</v>
      </c>
      <c r="R74" s="3" t="s">
        <v>199</v>
      </c>
      <c r="S74" s="3" t="s">
        <v>200</v>
      </c>
      <c r="T74" s="5" t="s">
        <v>8</v>
      </c>
      <c r="U74" s="5"/>
      <c r="V74" s="45" t="s">
        <v>730</v>
      </c>
      <c r="W74" s="48" t="s">
        <v>766</v>
      </c>
      <c r="X74" s="222" t="s">
        <v>819</v>
      </c>
      <c r="Y74" s="221" t="s">
        <v>922</v>
      </c>
      <c r="Z74" s="3"/>
      <c r="AA74" s="3"/>
      <c r="AB74" s="4"/>
      <c r="AC74" s="119" t="str">
        <f t="shared" si="5"/>
        <v>5684911</v>
      </c>
      <c r="AD74" s="220" t="s">
        <v>910</v>
      </c>
      <c r="AE74" s="26">
        <f>ROUND(83126*0.000248,2)</f>
        <v>20.62</v>
      </c>
      <c r="AF74" s="252" t="s">
        <v>966</v>
      </c>
      <c r="AG74" s="26">
        <v>1</v>
      </c>
      <c r="AH74" s="317">
        <v>14426314</v>
      </c>
      <c r="AI74" s="180">
        <v>7439976</v>
      </c>
      <c r="AL74" s="315" t="s">
        <v>1020</v>
      </c>
      <c r="AM74" s="192">
        <f t="shared" si="1"/>
        <v>147</v>
      </c>
      <c r="AN74" s="18">
        <v>13</v>
      </c>
    </row>
    <row r="75" spans="1:41" s="18" customFormat="1" ht="24.95" customHeight="1">
      <c r="A75" s="243" t="s">
        <v>207</v>
      </c>
      <c r="B75" s="243" t="s">
        <v>148</v>
      </c>
      <c r="C75" s="243" t="s">
        <v>669</v>
      </c>
      <c r="D75" s="245" t="s">
        <v>541</v>
      </c>
      <c r="E75" s="243" t="s">
        <v>202</v>
      </c>
      <c r="F75" s="245" t="s">
        <v>553</v>
      </c>
      <c r="G75" s="243" t="s">
        <v>203</v>
      </c>
      <c r="H75" s="243" t="s">
        <v>15</v>
      </c>
      <c r="I75" s="246" t="s">
        <v>681</v>
      </c>
      <c r="J75" s="245">
        <v>59.98</v>
      </c>
      <c r="K75" s="253" t="s">
        <v>14</v>
      </c>
      <c r="L75" s="250">
        <v>0.25387999999999999</v>
      </c>
      <c r="M75" s="250">
        <v>50.74</v>
      </c>
      <c r="N75" s="243" t="s">
        <v>204</v>
      </c>
      <c r="O75" s="243" t="s">
        <v>613</v>
      </c>
      <c r="P75" s="243" t="s">
        <v>16</v>
      </c>
      <c r="Q75" s="245">
        <v>2008</v>
      </c>
      <c r="R75" s="243" t="s">
        <v>205</v>
      </c>
      <c r="S75" s="243" t="s">
        <v>206</v>
      </c>
      <c r="T75" s="245" t="s">
        <v>8</v>
      </c>
      <c r="U75" s="245"/>
      <c r="V75" s="310" t="s">
        <v>770</v>
      </c>
      <c r="W75" s="40" t="s">
        <v>721</v>
      </c>
      <c r="Y75" s="19"/>
      <c r="Z75" s="243"/>
      <c r="AA75" s="243"/>
      <c r="AB75" s="244"/>
      <c r="AC75" s="252" t="str">
        <f t="shared" si="5"/>
        <v>5698711</v>
      </c>
      <c r="AD75" s="252"/>
      <c r="AE75" s="252"/>
      <c r="AF75" s="252" t="s">
        <v>810</v>
      </c>
      <c r="AG75" s="252">
        <v>1</v>
      </c>
      <c r="AH75" s="301" t="s">
        <v>974</v>
      </c>
      <c r="AI75" s="180">
        <v>7439976</v>
      </c>
      <c r="AL75" s="282" t="s">
        <v>975</v>
      </c>
      <c r="AM75" s="192">
        <f t="shared" si="1"/>
        <v>62</v>
      </c>
      <c r="AO75" s="311" t="s">
        <v>996</v>
      </c>
    </row>
    <row r="76" spans="1:41" s="18" customFormat="1" ht="24.95" customHeight="1">
      <c r="A76" s="3" t="s">
        <v>213</v>
      </c>
      <c r="B76" s="3" t="s">
        <v>62</v>
      </c>
      <c r="C76" s="243" t="s">
        <v>656</v>
      </c>
      <c r="D76" s="5" t="s">
        <v>532</v>
      </c>
      <c r="E76" s="3" t="s">
        <v>208</v>
      </c>
      <c r="F76" s="5" t="s">
        <v>554</v>
      </c>
      <c r="G76" s="3" t="s">
        <v>209</v>
      </c>
      <c r="H76" s="3" t="s">
        <v>15</v>
      </c>
      <c r="I76" s="11" t="s">
        <v>681</v>
      </c>
      <c r="J76" s="5">
        <v>162.90947599999998</v>
      </c>
      <c r="K76" s="35" t="s">
        <v>56</v>
      </c>
      <c r="L76" s="17"/>
      <c r="M76" s="17"/>
      <c r="N76" s="243" t="s">
        <v>210</v>
      </c>
      <c r="O76" s="3" t="s">
        <v>613</v>
      </c>
      <c r="P76" s="3" t="s">
        <v>16</v>
      </c>
      <c r="Q76" s="5">
        <v>2008</v>
      </c>
      <c r="R76" s="3" t="s">
        <v>211</v>
      </c>
      <c r="S76" s="3" t="s">
        <v>212</v>
      </c>
      <c r="T76" s="5" t="s">
        <v>8</v>
      </c>
      <c r="U76" s="5"/>
      <c r="V76" s="13" t="s">
        <v>756</v>
      </c>
      <c r="W76" s="58" t="s">
        <v>760</v>
      </c>
      <c r="X76" s="261" t="s">
        <v>961</v>
      </c>
      <c r="Y76" s="19"/>
      <c r="Z76" s="3"/>
      <c r="AA76" s="3"/>
      <c r="AB76" s="4"/>
      <c r="AC76" s="119" t="str">
        <f t="shared" si="5"/>
        <v>5706611</v>
      </c>
      <c r="AD76" s="160"/>
      <c r="AE76" s="265">
        <f>ROUND(182734*0.000248,2)</f>
        <v>45.32</v>
      </c>
      <c r="AF76" s="252" t="s">
        <v>966</v>
      </c>
      <c r="AG76" s="26">
        <f>ROUND(AJ76/SUM($AJ$76:$AJ$78),4)</f>
        <v>0.64319999999999999</v>
      </c>
      <c r="AH76" s="317">
        <v>11413314</v>
      </c>
      <c r="AI76" s="180">
        <v>7439976</v>
      </c>
      <c r="AJ76" s="18">
        <v>6.13</v>
      </c>
      <c r="AL76" s="315" t="s">
        <v>1016</v>
      </c>
      <c r="AM76" s="192">
        <f t="shared" si="1"/>
        <v>175</v>
      </c>
      <c r="AN76" s="18">
        <v>13</v>
      </c>
    </row>
    <row r="77" spans="1:41" s="18" customFormat="1" ht="24.95" customHeight="1">
      <c r="A77" s="243" t="s">
        <v>213</v>
      </c>
      <c r="B77" s="243" t="s">
        <v>62</v>
      </c>
      <c r="C77" s="243" t="s">
        <v>656</v>
      </c>
      <c r="D77" s="245" t="s">
        <v>532</v>
      </c>
      <c r="E77" s="243" t="s">
        <v>208</v>
      </c>
      <c r="F77" s="245" t="s">
        <v>554</v>
      </c>
      <c r="G77" s="243" t="s">
        <v>209</v>
      </c>
      <c r="H77" s="243" t="s">
        <v>15</v>
      </c>
      <c r="I77" s="246" t="s">
        <v>681</v>
      </c>
      <c r="J77" s="245">
        <v>162.90947599999998</v>
      </c>
      <c r="K77" s="253" t="s">
        <v>56</v>
      </c>
      <c r="L77" s="248"/>
      <c r="M77" s="248"/>
      <c r="N77" s="243" t="s">
        <v>210</v>
      </c>
      <c r="O77" s="243" t="s">
        <v>613</v>
      </c>
      <c r="P77" s="243" t="s">
        <v>16</v>
      </c>
      <c r="Q77" s="245">
        <v>2008</v>
      </c>
      <c r="R77" s="243" t="s">
        <v>211</v>
      </c>
      <c r="S77" s="243" t="s">
        <v>212</v>
      </c>
      <c r="T77" s="245" t="s">
        <v>8</v>
      </c>
      <c r="U77" s="245"/>
      <c r="V77" s="13" t="s">
        <v>756</v>
      </c>
      <c r="W77" s="58" t="s">
        <v>760</v>
      </c>
      <c r="X77" s="261" t="s">
        <v>961</v>
      </c>
      <c r="Y77" s="19"/>
      <c r="Z77" s="243"/>
      <c r="AA77" s="243"/>
      <c r="AB77" s="244"/>
      <c r="AC77" s="252" t="str">
        <f>E77</f>
        <v>5706611</v>
      </c>
      <c r="AD77" s="252"/>
      <c r="AE77" s="265">
        <f>ROUND(182734*0.000248,2)</f>
        <v>45.32</v>
      </c>
      <c r="AF77" s="252" t="s">
        <v>966</v>
      </c>
      <c r="AG77" s="252">
        <f>ROUND(AJ77/SUM($AJ$76:$AJ$78),4)</f>
        <v>0.34639999999999999</v>
      </c>
      <c r="AH77" s="317">
        <v>11413414</v>
      </c>
      <c r="AI77" s="180">
        <v>7439976</v>
      </c>
      <c r="AJ77" s="18">
        <v>3.3010000000000002</v>
      </c>
      <c r="AL77" s="266" t="s">
        <v>968</v>
      </c>
      <c r="AM77" s="192">
        <f t="shared" si="1"/>
        <v>175</v>
      </c>
      <c r="AN77" s="18">
        <v>13</v>
      </c>
    </row>
    <row r="78" spans="1:41" s="18" customFormat="1" ht="24.95" customHeight="1">
      <c r="A78" s="243" t="s">
        <v>213</v>
      </c>
      <c r="B78" s="243" t="s">
        <v>62</v>
      </c>
      <c r="C78" s="243" t="s">
        <v>656</v>
      </c>
      <c r="D78" s="245" t="s">
        <v>532</v>
      </c>
      <c r="E78" s="243" t="s">
        <v>208</v>
      </c>
      <c r="F78" s="245" t="s">
        <v>554</v>
      </c>
      <c r="G78" s="243" t="s">
        <v>209</v>
      </c>
      <c r="H78" s="243" t="s">
        <v>15</v>
      </c>
      <c r="I78" s="246" t="s">
        <v>681</v>
      </c>
      <c r="J78" s="245">
        <v>162.90947599999998</v>
      </c>
      <c r="K78" s="253" t="s">
        <v>56</v>
      </c>
      <c r="L78" s="248"/>
      <c r="M78" s="248"/>
      <c r="N78" s="243" t="s">
        <v>210</v>
      </c>
      <c r="O78" s="243" t="s">
        <v>613</v>
      </c>
      <c r="P78" s="243" t="s">
        <v>16</v>
      </c>
      <c r="Q78" s="245">
        <v>2008</v>
      </c>
      <c r="R78" s="243" t="s">
        <v>211</v>
      </c>
      <c r="S78" s="243" t="s">
        <v>212</v>
      </c>
      <c r="T78" s="245" t="s">
        <v>8</v>
      </c>
      <c r="U78" s="245"/>
      <c r="V78" s="13" t="s">
        <v>756</v>
      </c>
      <c r="W78" s="58" t="s">
        <v>760</v>
      </c>
      <c r="X78" s="261" t="s">
        <v>961</v>
      </c>
      <c r="Y78" s="19"/>
      <c r="Z78" s="243"/>
      <c r="AA78" s="243"/>
      <c r="AB78" s="244"/>
      <c r="AC78" s="252" t="str">
        <f>E78</f>
        <v>5706611</v>
      </c>
      <c r="AD78" s="252"/>
      <c r="AE78" s="265">
        <f>ROUND(182734*0.000248,2)</f>
        <v>45.32</v>
      </c>
      <c r="AF78" s="252" t="s">
        <v>966</v>
      </c>
      <c r="AG78" s="252">
        <f>ROUND(AJ78/SUM($AJ$76:$AJ$78),4)</f>
        <v>1.04E-2</v>
      </c>
      <c r="AH78" s="317">
        <v>11413514</v>
      </c>
      <c r="AI78" s="180">
        <v>7439976</v>
      </c>
      <c r="AJ78" s="18">
        <v>9.9000000000000005E-2</v>
      </c>
      <c r="AL78" s="266" t="s">
        <v>968</v>
      </c>
      <c r="AM78" s="192">
        <f t="shared" si="1"/>
        <v>175</v>
      </c>
      <c r="AN78" s="18">
        <v>13</v>
      </c>
    </row>
    <row r="79" spans="1:41" s="18" customFormat="1" ht="24.95" customHeight="1">
      <c r="A79" s="243" t="s">
        <v>219</v>
      </c>
      <c r="B79" s="243" t="s">
        <v>83</v>
      </c>
      <c r="C79" s="243" t="s">
        <v>646</v>
      </c>
      <c r="D79" s="245" t="s">
        <v>527</v>
      </c>
      <c r="E79" s="243" t="s">
        <v>214</v>
      </c>
      <c r="F79" s="245" t="s">
        <v>555</v>
      </c>
      <c r="G79" s="243" t="s">
        <v>215</v>
      </c>
      <c r="H79" s="243" t="s">
        <v>15</v>
      </c>
      <c r="I79" s="246" t="s">
        <v>681</v>
      </c>
      <c r="J79" s="245">
        <v>20.339999999999996</v>
      </c>
      <c r="K79" s="253" t="s">
        <v>14</v>
      </c>
      <c r="L79" s="248"/>
      <c r="M79" s="243"/>
      <c r="N79" s="243" t="s">
        <v>216</v>
      </c>
      <c r="O79" s="243" t="s">
        <v>625</v>
      </c>
      <c r="P79" s="243" t="s">
        <v>16</v>
      </c>
      <c r="Q79" s="245">
        <v>1980</v>
      </c>
      <c r="R79" s="243" t="s">
        <v>217</v>
      </c>
      <c r="S79" s="243" t="s">
        <v>218</v>
      </c>
      <c r="T79" s="245" t="s">
        <v>8</v>
      </c>
      <c r="U79" s="245"/>
      <c r="V79" s="13" t="s">
        <v>751</v>
      </c>
      <c r="W79" s="58" t="s">
        <v>760</v>
      </c>
      <c r="X79" s="251" t="s">
        <v>806</v>
      </c>
      <c r="Y79" s="299" t="s">
        <v>976</v>
      </c>
      <c r="Z79" s="243"/>
      <c r="AA79" s="243"/>
      <c r="AB79" s="244"/>
      <c r="AC79" s="252" t="str">
        <f t="shared" si="5"/>
        <v>6508311</v>
      </c>
      <c r="AD79" s="252"/>
      <c r="AE79" s="252">
        <f>ROUND(0.000248*180861,2)</f>
        <v>44.85</v>
      </c>
      <c r="AF79" s="252" t="s">
        <v>966</v>
      </c>
      <c r="AG79" s="252">
        <v>0.42720000000000002</v>
      </c>
      <c r="AH79" s="300">
        <v>10398014</v>
      </c>
      <c r="AI79" s="180">
        <v>7439976</v>
      </c>
      <c r="AL79" s="282" t="s">
        <v>978</v>
      </c>
      <c r="AM79" s="192">
        <f t="shared" si="1"/>
        <v>155</v>
      </c>
      <c r="AN79" s="18">
        <v>13</v>
      </c>
      <c r="AO79" s="266" t="s">
        <v>969</v>
      </c>
    </row>
    <row r="80" spans="1:41" s="18" customFormat="1" ht="24.95" customHeight="1">
      <c r="A80" s="243" t="s">
        <v>219</v>
      </c>
      <c r="B80" s="243" t="s">
        <v>83</v>
      </c>
      <c r="C80" s="243" t="s">
        <v>646</v>
      </c>
      <c r="D80" s="245" t="s">
        <v>527</v>
      </c>
      <c r="E80" s="243" t="s">
        <v>214</v>
      </c>
      <c r="F80" s="245" t="s">
        <v>555</v>
      </c>
      <c r="G80" s="243" t="s">
        <v>215</v>
      </c>
      <c r="H80" s="243" t="s">
        <v>15</v>
      </c>
      <c r="I80" s="246" t="s">
        <v>681</v>
      </c>
      <c r="J80" s="245">
        <v>20.339999999999996</v>
      </c>
      <c r="K80" s="253" t="s">
        <v>14</v>
      </c>
      <c r="L80" s="248"/>
      <c r="M80" s="243"/>
      <c r="N80" s="243" t="s">
        <v>216</v>
      </c>
      <c r="O80" s="243" t="s">
        <v>625</v>
      </c>
      <c r="P80" s="243" t="s">
        <v>16</v>
      </c>
      <c r="Q80" s="245">
        <v>1980</v>
      </c>
      <c r="R80" s="243" t="s">
        <v>217</v>
      </c>
      <c r="S80" s="243" t="s">
        <v>218</v>
      </c>
      <c r="T80" s="245" t="s">
        <v>8</v>
      </c>
      <c r="U80" s="245"/>
      <c r="V80" s="13" t="s">
        <v>751</v>
      </c>
      <c r="W80" s="58" t="s">
        <v>760</v>
      </c>
      <c r="X80" s="251" t="s">
        <v>806</v>
      </c>
      <c r="Y80" s="299" t="s">
        <v>976</v>
      </c>
      <c r="Z80" s="243"/>
      <c r="AA80" s="243"/>
      <c r="AB80" s="244"/>
      <c r="AC80" s="252" t="str">
        <f>E80</f>
        <v>6508311</v>
      </c>
      <c r="AD80" s="252"/>
      <c r="AE80" s="252">
        <f>ROUND(0.000248*180861,2)</f>
        <v>44.85</v>
      </c>
      <c r="AF80" s="252" t="s">
        <v>966</v>
      </c>
      <c r="AG80" s="252">
        <v>7.2800000000000004E-2</v>
      </c>
      <c r="AH80" s="300">
        <v>10398114</v>
      </c>
      <c r="AI80" s="180">
        <v>7439976</v>
      </c>
      <c r="AL80" s="282" t="s">
        <v>978</v>
      </c>
      <c r="AM80" s="192">
        <f t="shared" si="1"/>
        <v>155</v>
      </c>
      <c r="AN80" s="18">
        <v>13</v>
      </c>
      <c r="AO80" s="266" t="s">
        <v>969</v>
      </c>
    </row>
    <row r="81" spans="1:41" s="18" customFormat="1" ht="24.95" customHeight="1">
      <c r="A81" s="243" t="s">
        <v>219</v>
      </c>
      <c r="B81" s="243" t="s">
        <v>83</v>
      </c>
      <c r="C81" s="243" t="s">
        <v>646</v>
      </c>
      <c r="D81" s="245" t="s">
        <v>527</v>
      </c>
      <c r="E81" s="243" t="s">
        <v>214</v>
      </c>
      <c r="F81" s="245" t="s">
        <v>555</v>
      </c>
      <c r="G81" s="243" t="s">
        <v>215</v>
      </c>
      <c r="H81" s="243" t="s">
        <v>15</v>
      </c>
      <c r="I81" s="246" t="s">
        <v>681</v>
      </c>
      <c r="J81" s="245">
        <v>20.339999999999996</v>
      </c>
      <c r="K81" s="253" t="s">
        <v>14</v>
      </c>
      <c r="L81" s="248"/>
      <c r="M81" s="243"/>
      <c r="N81" s="243" t="s">
        <v>216</v>
      </c>
      <c r="O81" s="243" t="s">
        <v>625</v>
      </c>
      <c r="P81" s="243" t="s">
        <v>16</v>
      </c>
      <c r="Q81" s="245">
        <v>1980</v>
      </c>
      <c r="R81" s="243" t="s">
        <v>217</v>
      </c>
      <c r="S81" s="243" t="s">
        <v>218</v>
      </c>
      <c r="T81" s="245" t="s">
        <v>8</v>
      </c>
      <c r="U81" s="245"/>
      <c r="V81" s="13" t="s">
        <v>751</v>
      </c>
      <c r="W81" s="58" t="s">
        <v>760</v>
      </c>
      <c r="X81" s="251" t="s">
        <v>806</v>
      </c>
      <c r="Y81" s="299" t="s">
        <v>976</v>
      </c>
      <c r="Z81" s="243"/>
      <c r="AA81" s="243"/>
      <c r="AB81" s="244"/>
      <c r="AC81" s="252" t="str">
        <f>E81</f>
        <v>6508311</v>
      </c>
      <c r="AD81" s="252"/>
      <c r="AE81" s="252">
        <f>ROUND(0.000248*180861,2)</f>
        <v>44.85</v>
      </c>
      <c r="AF81" s="252" t="s">
        <v>966</v>
      </c>
      <c r="AG81" s="252">
        <v>0.42720000000000002</v>
      </c>
      <c r="AH81" s="300">
        <v>10398214</v>
      </c>
      <c r="AI81" s="180">
        <v>7439976</v>
      </c>
      <c r="AL81" s="282" t="s">
        <v>978</v>
      </c>
      <c r="AM81" s="192">
        <f t="shared" si="1"/>
        <v>155</v>
      </c>
      <c r="AN81" s="18">
        <v>13</v>
      </c>
      <c r="AO81" s="266" t="s">
        <v>969</v>
      </c>
    </row>
    <row r="82" spans="1:41" s="18" customFormat="1" ht="24.95" customHeight="1">
      <c r="A82" s="243" t="s">
        <v>219</v>
      </c>
      <c r="B82" s="243" t="s">
        <v>83</v>
      </c>
      <c r="C82" s="243" t="s">
        <v>646</v>
      </c>
      <c r="D82" s="245" t="s">
        <v>527</v>
      </c>
      <c r="E82" s="243" t="s">
        <v>214</v>
      </c>
      <c r="F82" s="245" t="s">
        <v>555</v>
      </c>
      <c r="G82" s="243" t="s">
        <v>215</v>
      </c>
      <c r="H82" s="243" t="s">
        <v>15</v>
      </c>
      <c r="I82" s="246" t="s">
        <v>681</v>
      </c>
      <c r="J82" s="245">
        <v>20.339999999999996</v>
      </c>
      <c r="K82" s="253" t="s">
        <v>14</v>
      </c>
      <c r="L82" s="248"/>
      <c r="M82" s="243"/>
      <c r="N82" s="243" t="s">
        <v>216</v>
      </c>
      <c r="O82" s="243" t="s">
        <v>625</v>
      </c>
      <c r="P82" s="243" t="s">
        <v>16</v>
      </c>
      <c r="Q82" s="245">
        <v>1980</v>
      </c>
      <c r="R82" s="243" t="s">
        <v>217</v>
      </c>
      <c r="S82" s="243" t="s">
        <v>218</v>
      </c>
      <c r="T82" s="245" t="s">
        <v>8</v>
      </c>
      <c r="U82" s="245"/>
      <c r="V82" s="13" t="s">
        <v>751</v>
      </c>
      <c r="W82" s="58" t="s">
        <v>760</v>
      </c>
      <c r="X82" s="251" t="s">
        <v>806</v>
      </c>
      <c r="Y82" s="299" t="s">
        <v>976</v>
      </c>
      <c r="Z82" s="243"/>
      <c r="AA82" s="243"/>
      <c r="AB82" s="244"/>
      <c r="AC82" s="252" t="str">
        <f>E82</f>
        <v>6508311</v>
      </c>
      <c r="AD82" s="252"/>
      <c r="AE82" s="252">
        <f>ROUND(0.000248*180861,2)</f>
        <v>44.85</v>
      </c>
      <c r="AF82" s="252" t="s">
        <v>966</v>
      </c>
      <c r="AG82" s="252">
        <v>7.2800000000000004E-2</v>
      </c>
      <c r="AH82" s="300">
        <v>10398314</v>
      </c>
      <c r="AI82" s="180">
        <v>7439976</v>
      </c>
      <c r="AL82" s="282" t="s">
        <v>978</v>
      </c>
      <c r="AM82" s="192">
        <f t="shared" ref="AM82:AM169" si="16">LEN(AL82)</f>
        <v>155</v>
      </c>
      <c r="AN82" s="18">
        <v>13</v>
      </c>
      <c r="AO82" s="266" t="s">
        <v>969</v>
      </c>
    </row>
    <row r="83" spans="1:41" s="18" customFormat="1" ht="24.95" customHeight="1">
      <c r="A83" s="3" t="s">
        <v>70</v>
      </c>
      <c r="B83" s="3" t="s">
        <v>68</v>
      </c>
      <c r="C83" s="3" t="s">
        <v>638</v>
      </c>
      <c r="D83" s="5" t="s">
        <v>523</v>
      </c>
      <c r="E83" s="3" t="s">
        <v>220</v>
      </c>
      <c r="F83" s="5" t="s">
        <v>556</v>
      </c>
      <c r="G83" s="3" t="s">
        <v>221</v>
      </c>
      <c r="H83" s="3" t="s">
        <v>15</v>
      </c>
      <c r="I83" s="11" t="s">
        <v>681</v>
      </c>
      <c r="J83" s="5">
        <v>133.58577</v>
      </c>
      <c r="K83" s="35" t="s">
        <v>56</v>
      </c>
      <c r="L83" s="5">
        <v>0.2</v>
      </c>
      <c r="M83" s="3"/>
      <c r="N83" s="3" t="s">
        <v>222</v>
      </c>
      <c r="O83" s="3" t="s">
        <v>626</v>
      </c>
      <c r="P83" s="3" t="s">
        <v>16</v>
      </c>
      <c r="Q83" s="5">
        <v>2008</v>
      </c>
      <c r="R83" s="3" t="s">
        <v>223</v>
      </c>
      <c r="S83" s="3" t="s">
        <v>224</v>
      </c>
      <c r="T83" s="5" t="s">
        <v>8</v>
      </c>
      <c r="U83" s="5"/>
      <c r="V83" s="59" t="s">
        <v>757</v>
      </c>
      <c r="W83" s="58" t="s">
        <v>760</v>
      </c>
      <c r="Y83" s="19"/>
      <c r="Z83" s="3"/>
      <c r="AA83" s="3"/>
      <c r="AB83" s="4"/>
      <c r="AC83" s="119" t="str">
        <f t="shared" si="5"/>
        <v>6533011</v>
      </c>
      <c r="AD83" s="231" t="s">
        <v>910</v>
      </c>
      <c r="AE83" s="160">
        <f>ROUND(428956*0.000248,2)</f>
        <v>106.38</v>
      </c>
      <c r="AF83" s="252" t="s">
        <v>966</v>
      </c>
      <c r="AG83" s="26">
        <v>1</v>
      </c>
      <c r="AH83" s="317">
        <v>13842814</v>
      </c>
      <c r="AI83" s="180">
        <v>7439976</v>
      </c>
      <c r="AL83" s="266" t="s">
        <v>970</v>
      </c>
      <c r="AM83" s="192">
        <f t="shared" si="16"/>
        <v>147</v>
      </c>
      <c r="AN83" s="18">
        <v>13</v>
      </c>
    </row>
    <row r="84" spans="1:41" s="18" customFormat="1" ht="24.95" customHeight="1">
      <c r="A84" s="3" t="s">
        <v>230</v>
      </c>
      <c r="B84" s="3" t="s">
        <v>68</v>
      </c>
      <c r="C84" s="3" t="s">
        <v>667</v>
      </c>
      <c r="D84" s="5" t="s">
        <v>523</v>
      </c>
      <c r="E84" s="3" t="s">
        <v>225</v>
      </c>
      <c r="F84" s="5" t="s">
        <v>557</v>
      </c>
      <c r="G84" s="3" t="s">
        <v>226</v>
      </c>
      <c r="H84" s="3" t="s">
        <v>15</v>
      </c>
      <c r="I84" s="11" t="s">
        <v>681</v>
      </c>
      <c r="J84" s="5">
        <v>75.264178000000001</v>
      </c>
      <c r="K84" s="35" t="s">
        <v>56</v>
      </c>
      <c r="M84" s="3"/>
      <c r="N84" s="3" t="s">
        <v>227</v>
      </c>
      <c r="O84" s="3" t="s">
        <v>627</v>
      </c>
      <c r="P84" s="3" t="s">
        <v>16</v>
      </c>
      <c r="Q84" s="5">
        <v>2008</v>
      </c>
      <c r="R84" s="3" t="s">
        <v>228</v>
      </c>
      <c r="S84" s="3" t="s">
        <v>229</v>
      </c>
      <c r="T84" s="5" t="s">
        <v>8</v>
      </c>
      <c r="U84" s="5"/>
      <c r="V84" s="64" t="s">
        <v>758</v>
      </c>
      <c r="W84" s="58" t="s">
        <v>760</v>
      </c>
      <c r="X84" s="239" t="s">
        <v>819</v>
      </c>
      <c r="Y84" s="238" t="s">
        <v>899</v>
      </c>
      <c r="Z84" s="3"/>
      <c r="AA84" s="3"/>
      <c r="AB84" s="4"/>
      <c r="AC84" s="119" t="str">
        <f t="shared" si="5"/>
        <v>6581311</v>
      </c>
      <c r="AD84" s="160"/>
      <c r="AE84" s="26">
        <f>ROUND((12589.3+78142.7+148146)*0.000248,2)</f>
        <v>59.24</v>
      </c>
      <c r="AF84" s="252" t="s">
        <v>966</v>
      </c>
      <c r="AG84" s="237">
        <f>ROUND(0.0527017975703079,4)</f>
        <v>5.2699999999999997E-2</v>
      </c>
      <c r="AH84" s="317">
        <v>93125314</v>
      </c>
      <c r="AI84" s="180">
        <v>7439976</v>
      </c>
      <c r="AL84" s="282" t="s">
        <v>977</v>
      </c>
      <c r="AM84" s="192">
        <f t="shared" si="16"/>
        <v>163</v>
      </c>
      <c r="AN84" s="18">
        <v>13</v>
      </c>
    </row>
    <row r="85" spans="1:41" s="18" customFormat="1" ht="24.95" customHeight="1">
      <c r="A85" s="227" t="s">
        <v>230</v>
      </c>
      <c r="B85" s="227" t="s">
        <v>68</v>
      </c>
      <c r="C85" s="227" t="s">
        <v>667</v>
      </c>
      <c r="D85" s="229" t="s">
        <v>523</v>
      </c>
      <c r="E85" s="227" t="s">
        <v>225</v>
      </c>
      <c r="F85" s="229" t="s">
        <v>557</v>
      </c>
      <c r="G85" s="227" t="s">
        <v>226</v>
      </c>
      <c r="H85" s="227" t="s">
        <v>15</v>
      </c>
      <c r="I85" s="230" t="s">
        <v>681</v>
      </c>
      <c r="J85" s="229">
        <v>75.264178000000001</v>
      </c>
      <c r="K85" s="232" t="s">
        <v>56</v>
      </c>
      <c r="M85" s="227"/>
      <c r="N85" s="227" t="s">
        <v>227</v>
      </c>
      <c r="O85" s="227" t="s">
        <v>627</v>
      </c>
      <c r="P85" s="227" t="s">
        <v>16</v>
      </c>
      <c r="Q85" s="229">
        <v>2008</v>
      </c>
      <c r="R85" s="227" t="s">
        <v>228</v>
      </c>
      <c r="S85" s="227" t="s">
        <v>229</v>
      </c>
      <c r="T85" s="229" t="s">
        <v>8</v>
      </c>
      <c r="U85" s="229"/>
      <c r="V85" s="64" t="s">
        <v>758</v>
      </c>
      <c r="W85" s="58" t="s">
        <v>760</v>
      </c>
      <c r="X85" s="241" t="s">
        <v>819</v>
      </c>
      <c r="Y85" s="240" t="s">
        <v>899</v>
      </c>
      <c r="Z85" s="227"/>
      <c r="AA85" s="227"/>
      <c r="AB85" s="228"/>
      <c r="AC85" s="231" t="str">
        <f>E85</f>
        <v>6581311</v>
      </c>
      <c r="AD85" s="231"/>
      <c r="AE85" s="252">
        <f>ROUND((12589.3+78142.7+148146)*0.000248,2)</f>
        <v>59.24</v>
      </c>
      <c r="AF85" s="252" t="s">
        <v>966</v>
      </c>
      <c r="AG85" s="237">
        <f>ROUND(0.327123887507431,4)</f>
        <v>0.3271</v>
      </c>
      <c r="AH85" s="317">
        <v>93125414</v>
      </c>
      <c r="AI85" s="180">
        <v>7439976</v>
      </c>
      <c r="AL85" s="282" t="s">
        <v>977</v>
      </c>
      <c r="AM85" s="192">
        <f t="shared" si="16"/>
        <v>163</v>
      </c>
      <c r="AN85" s="18">
        <v>13</v>
      </c>
    </row>
    <row r="86" spans="1:41" s="18" customFormat="1" ht="24.95" customHeight="1">
      <c r="A86" s="227" t="s">
        <v>230</v>
      </c>
      <c r="B86" s="227" t="s">
        <v>68</v>
      </c>
      <c r="C86" s="227" t="s">
        <v>667</v>
      </c>
      <c r="D86" s="229" t="s">
        <v>523</v>
      </c>
      <c r="E86" s="227" t="s">
        <v>225</v>
      </c>
      <c r="F86" s="229" t="s">
        <v>557</v>
      </c>
      <c r="G86" s="227" t="s">
        <v>226</v>
      </c>
      <c r="H86" s="227" t="s">
        <v>15</v>
      </c>
      <c r="I86" s="230" t="s">
        <v>681</v>
      </c>
      <c r="J86" s="229">
        <v>75.264178000000001</v>
      </c>
      <c r="K86" s="232" t="s">
        <v>56</v>
      </c>
      <c r="M86" s="227"/>
      <c r="N86" s="227" t="s">
        <v>227</v>
      </c>
      <c r="O86" s="227" t="s">
        <v>627</v>
      </c>
      <c r="P86" s="227" t="s">
        <v>16</v>
      </c>
      <c r="Q86" s="229">
        <v>2008</v>
      </c>
      <c r="R86" s="227" t="s">
        <v>228</v>
      </c>
      <c r="S86" s="227" t="s">
        <v>229</v>
      </c>
      <c r="T86" s="229" t="s">
        <v>8</v>
      </c>
      <c r="U86" s="229"/>
      <c r="V86" s="64" t="s">
        <v>758</v>
      </c>
      <c r="W86" s="58" t="s">
        <v>760</v>
      </c>
      <c r="X86" s="255" t="s">
        <v>819</v>
      </c>
      <c r="Y86" s="254" t="s">
        <v>899</v>
      </c>
      <c r="Z86" s="227"/>
      <c r="AA86" s="227"/>
      <c r="AB86" s="228"/>
      <c r="AC86" s="231" t="str">
        <f>E86</f>
        <v>6581311</v>
      </c>
      <c r="AD86" s="231"/>
      <c r="AE86" s="252">
        <f>ROUND((12589.3+78142.7+148146)*0.000248,2)</f>
        <v>59.24</v>
      </c>
      <c r="AF86" s="252" t="s">
        <v>966</v>
      </c>
      <c r="AG86" s="237">
        <f>ROUND(0.620174314922262,4)</f>
        <v>0.62019999999999997</v>
      </c>
      <c r="AH86" s="317">
        <v>93125514</v>
      </c>
      <c r="AI86" s="180">
        <v>7439976</v>
      </c>
      <c r="AL86" s="282" t="s">
        <v>977</v>
      </c>
      <c r="AM86" s="192">
        <f t="shared" si="16"/>
        <v>163</v>
      </c>
      <c r="AN86" s="18">
        <v>13</v>
      </c>
    </row>
    <row r="87" spans="1:41" s="18" customFormat="1" ht="24.95" customHeight="1">
      <c r="A87" s="3" t="s">
        <v>237</v>
      </c>
      <c r="B87" s="3" t="s">
        <v>236</v>
      </c>
      <c r="C87" s="3" t="s">
        <v>674</v>
      </c>
      <c r="D87" s="5" t="s">
        <v>559</v>
      </c>
      <c r="E87" s="3" t="s">
        <v>231</v>
      </c>
      <c r="F87" s="5" t="s">
        <v>558</v>
      </c>
      <c r="G87" s="3" t="s">
        <v>232</v>
      </c>
      <c r="H87" s="3" t="s">
        <v>15</v>
      </c>
      <c r="I87" s="11" t="s">
        <v>681</v>
      </c>
      <c r="J87" s="5">
        <v>231.33145399999998</v>
      </c>
      <c r="K87" s="35" t="s">
        <v>56</v>
      </c>
      <c r="L87" s="17"/>
      <c r="M87" s="23">
        <v>0.23</v>
      </c>
      <c r="N87" s="3" t="s">
        <v>233</v>
      </c>
      <c r="O87" s="3" t="s">
        <v>233</v>
      </c>
      <c r="P87" s="3" t="s">
        <v>16</v>
      </c>
      <c r="Q87" s="5">
        <v>2008</v>
      </c>
      <c r="R87" s="3" t="s">
        <v>234</v>
      </c>
      <c r="S87" s="3" t="s">
        <v>235</v>
      </c>
      <c r="T87" s="5" t="s">
        <v>8</v>
      </c>
      <c r="U87" s="5"/>
      <c r="V87" s="7" t="s">
        <v>503</v>
      </c>
      <c r="W87" s="40" t="s">
        <v>721</v>
      </c>
      <c r="Y87" s="174" t="s">
        <v>885</v>
      </c>
      <c r="Z87" s="3"/>
      <c r="AA87" s="3"/>
      <c r="AB87" s="4"/>
      <c r="AC87" s="119" t="str">
        <f t="shared" si="5"/>
        <v>6633511</v>
      </c>
      <c r="AD87" s="160"/>
      <c r="AE87" s="26"/>
      <c r="AF87" s="160" t="s">
        <v>808</v>
      </c>
      <c r="AG87" s="74">
        <v>0.71971284042716266</v>
      </c>
      <c r="AH87" s="242">
        <v>851414</v>
      </c>
      <c r="AI87" s="180">
        <v>7439976</v>
      </c>
      <c r="AJ87" s="353" t="s">
        <v>1062</v>
      </c>
      <c r="AK87" s="78">
        <v>40805</v>
      </c>
      <c r="AL87" s="266" t="s">
        <v>971</v>
      </c>
      <c r="AM87" s="192">
        <f t="shared" si="16"/>
        <v>44</v>
      </c>
      <c r="AN87" s="18">
        <v>2</v>
      </c>
    </row>
    <row r="88" spans="1:41" s="18" customFormat="1" ht="24.95" customHeight="1">
      <c r="A88" s="243" t="s">
        <v>237</v>
      </c>
      <c r="B88" s="243" t="s">
        <v>236</v>
      </c>
      <c r="C88" s="243" t="s">
        <v>674</v>
      </c>
      <c r="D88" s="245" t="s">
        <v>559</v>
      </c>
      <c r="E88" s="243" t="s">
        <v>231</v>
      </c>
      <c r="F88" s="245" t="s">
        <v>558</v>
      </c>
      <c r="G88" s="243" t="s">
        <v>232</v>
      </c>
      <c r="H88" s="243" t="s">
        <v>15</v>
      </c>
      <c r="I88" s="246" t="s">
        <v>681</v>
      </c>
      <c r="J88" s="245">
        <v>231.33145399999998</v>
      </c>
      <c r="K88" s="253" t="s">
        <v>56</v>
      </c>
      <c r="L88" s="248"/>
      <c r="M88" s="250">
        <v>0.23</v>
      </c>
      <c r="N88" s="243" t="s">
        <v>233</v>
      </c>
      <c r="O88" s="243" t="s">
        <v>233</v>
      </c>
      <c r="P88" s="243" t="s">
        <v>16</v>
      </c>
      <c r="Q88" s="245">
        <v>2008</v>
      </c>
      <c r="R88" s="243" t="s">
        <v>234</v>
      </c>
      <c r="S88" s="243" t="s">
        <v>235</v>
      </c>
      <c r="T88" s="245" t="s">
        <v>8</v>
      </c>
      <c r="U88" s="245"/>
      <c r="V88" s="7" t="s">
        <v>503</v>
      </c>
      <c r="W88" s="40" t="s">
        <v>721</v>
      </c>
      <c r="Y88" s="174" t="s">
        <v>885</v>
      </c>
      <c r="Z88" s="243"/>
      <c r="AA88" s="243"/>
      <c r="AB88" s="244"/>
      <c r="AC88" s="252" t="str">
        <f t="shared" ref="AC88:AC89" si="17">E88</f>
        <v>6633511</v>
      </c>
      <c r="AD88" s="252"/>
      <c r="AE88" s="252"/>
      <c r="AF88" s="252" t="s">
        <v>808</v>
      </c>
      <c r="AG88" s="74">
        <v>3.8603035102958462E-2</v>
      </c>
      <c r="AH88" s="242">
        <v>852314</v>
      </c>
      <c r="AI88" s="180">
        <v>7439976</v>
      </c>
      <c r="AJ88" s="353" t="s">
        <v>1062</v>
      </c>
      <c r="AK88" s="78">
        <v>40805</v>
      </c>
      <c r="AL88" s="266" t="s">
        <v>971</v>
      </c>
      <c r="AM88" s="192">
        <f t="shared" ref="AM88:AM89" si="18">LEN(AL88)</f>
        <v>44</v>
      </c>
      <c r="AN88" s="18">
        <v>2</v>
      </c>
    </row>
    <row r="89" spans="1:41" s="18" customFormat="1" ht="24.95" customHeight="1">
      <c r="A89" s="243" t="s">
        <v>237</v>
      </c>
      <c r="B89" s="243" t="s">
        <v>236</v>
      </c>
      <c r="C89" s="243" t="s">
        <v>674</v>
      </c>
      <c r="D89" s="245" t="s">
        <v>559</v>
      </c>
      <c r="E89" s="243" t="s">
        <v>231</v>
      </c>
      <c r="F89" s="245" t="s">
        <v>558</v>
      </c>
      <c r="G89" s="243" t="s">
        <v>232</v>
      </c>
      <c r="H89" s="243" t="s">
        <v>15</v>
      </c>
      <c r="I89" s="246" t="s">
        <v>681</v>
      </c>
      <c r="J89" s="245">
        <v>231.33145399999998</v>
      </c>
      <c r="K89" s="253" t="s">
        <v>56</v>
      </c>
      <c r="L89" s="248"/>
      <c r="M89" s="250">
        <v>0.23</v>
      </c>
      <c r="N89" s="243" t="s">
        <v>233</v>
      </c>
      <c r="O89" s="243" t="s">
        <v>233</v>
      </c>
      <c r="P89" s="243" t="s">
        <v>16</v>
      </c>
      <c r="Q89" s="245">
        <v>2008</v>
      </c>
      <c r="R89" s="243" t="s">
        <v>234</v>
      </c>
      <c r="S89" s="243" t="s">
        <v>235</v>
      </c>
      <c r="T89" s="245" t="s">
        <v>8</v>
      </c>
      <c r="U89" s="245"/>
      <c r="V89" s="7" t="s">
        <v>503</v>
      </c>
      <c r="W89" s="40" t="s">
        <v>721</v>
      </c>
      <c r="Y89" s="174" t="s">
        <v>885</v>
      </c>
      <c r="Z89" s="243"/>
      <c r="AA89" s="243"/>
      <c r="AB89" s="244"/>
      <c r="AC89" s="252" t="str">
        <f t="shared" si="17"/>
        <v>6633511</v>
      </c>
      <c r="AD89" s="252"/>
      <c r="AE89" s="252"/>
      <c r="AF89" s="252" t="s">
        <v>808</v>
      </c>
      <c r="AG89" s="74">
        <v>0.24168412446987894</v>
      </c>
      <c r="AH89" s="242">
        <v>1030714</v>
      </c>
      <c r="AI89" s="180">
        <v>7439976</v>
      </c>
      <c r="AJ89" s="353" t="s">
        <v>1062</v>
      </c>
      <c r="AK89" s="78">
        <v>40805</v>
      </c>
      <c r="AL89" s="266" t="s">
        <v>971</v>
      </c>
      <c r="AM89" s="192">
        <f t="shared" si="18"/>
        <v>44</v>
      </c>
      <c r="AN89" s="18">
        <v>2</v>
      </c>
    </row>
    <row r="90" spans="1:41" s="18" customFormat="1" ht="24.95" customHeight="1">
      <c r="A90" s="243" t="s">
        <v>243</v>
      </c>
      <c r="B90" s="243" t="s">
        <v>83</v>
      </c>
      <c r="C90" s="243" t="s">
        <v>670</v>
      </c>
      <c r="D90" s="245" t="s">
        <v>527</v>
      </c>
      <c r="E90" s="243" t="s">
        <v>238</v>
      </c>
      <c r="F90" s="245" t="s">
        <v>560</v>
      </c>
      <c r="G90" s="243" t="s">
        <v>239</v>
      </c>
      <c r="H90" s="243" t="s">
        <v>15</v>
      </c>
      <c r="I90" s="246" t="s">
        <v>681</v>
      </c>
      <c r="J90" s="245">
        <v>40.40155</v>
      </c>
      <c r="K90" s="253" t="s">
        <v>56</v>
      </c>
      <c r="M90" s="243"/>
      <c r="N90" s="243" t="s">
        <v>240</v>
      </c>
      <c r="O90" s="243" t="s">
        <v>628</v>
      </c>
      <c r="P90" s="243" t="s">
        <v>16</v>
      </c>
      <c r="Q90" s="245">
        <v>1980</v>
      </c>
      <c r="R90" s="243" t="s">
        <v>241</v>
      </c>
      <c r="S90" s="243" t="s">
        <v>242</v>
      </c>
      <c r="T90" s="245" t="s">
        <v>8</v>
      </c>
      <c r="U90" s="245"/>
      <c r="V90" s="64" t="s">
        <v>771</v>
      </c>
      <c r="W90" s="58" t="s">
        <v>760</v>
      </c>
      <c r="X90" s="251" t="s">
        <v>806</v>
      </c>
      <c r="Y90" s="299" t="s">
        <v>976</v>
      </c>
      <c r="Z90" s="243"/>
      <c r="AA90" s="243"/>
      <c r="AB90" s="244"/>
      <c r="AC90" s="252" t="str">
        <f t="shared" si="5"/>
        <v>6641511</v>
      </c>
      <c r="AD90" s="252"/>
      <c r="AE90" s="252">
        <f>ROUND(0.000248*121934,2)</f>
        <v>30.24</v>
      </c>
      <c r="AF90" s="252" t="s">
        <v>966</v>
      </c>
      <c r="AG90" s="252">
        <v>0.5</v>
      </c>
      <c r="AH90" s="300">
        <v>8166214</v>
      </c>
      <c r="AI90" s="180">
        <v>7439976</v>
      </c>
      <c r="AL90" s="282" t="s">
        <v>979</v>
      </c>
      <c r="AM90" s="192">
        <f t="shared" si="16"/>
        <v>155</v>
      </c>
      <c r="AN90" s="18">
        <v>13</v>
      </c>
    </row>
    <row r="91" spans="1:41" s="18" customFormat="1" ht="24.95" customHeight="1">
      <c r="A91" s="243" t="s">
        <v>243</v>
      </c>
      <c r="B91" s="243" t="s">
        <v>83</v>
      </c>
      <c r="C91" s="243" t="s">
        <v>670</v>
      </c>
      <c r="D91" s="245" t="s">
        <v>527</v>
      </c>
      <c r="E91" s="243" t="s">
        <v>238</v>
      </c>
      <c r="F91" s="245" t="s">
        <v>560</v>
      </c>
      <c r="G91" s="243" t="s">
        <v>239</v>
      </c>
      <c r="H91" s="243" t="s">
        <v>15</v>
      </c>
      <c r="I91" s="246" t="s">
        <v>681</v>
      </c>
      <c r="J91" s="245">
        <v>40.40155</v>
      </c>
      <c r="K91" s="253" t="s">
        <v>56</v>
      </c>
      <c r="M91" s="243"/>
      <c r="N91" s="243" t="s">
        <v>240</v>
      </c>
      <c r="O91" s="243" t="s">
        <v>628</v>
      </c>
      <c r="P91" s="243" t="s">
        <v>16</v>
      </c>
      <c r="Q91" s="245">
        <v>1980</v>
      </c>
      <c r="R91" s="243" t="s">
        <v>241</v>
      </c>
      <c r="S91" s="243" t="s">
        <v>242</v>
      </c>
      <c r="T91" s="245" t="s">
        <v>8</v>
      </c>
      <c r="U91" s="245"/>
      <c r="V91" s="64" t="s">
        <v>771</v>
      </c>
      <c r="W91" s="58" t="s">
        <v>760</v>
      </c>
      <c r="X91" s="251" t="s">
        <v>806</v>
      </c>
      <c r="Y91" s="299" t="s">
        <v>976</v>
      </c>
      <c r="Z91" s="243"/>
      <c r="AA91" s="243"/>
      <c r="AB91" s="244"/>
      <c r="AC91" s="252" t="str">
        <f>E91</f>
        <v>6641511</v>
      </c>
      <c r="AD91" s="252"/>
      <c r="AE91" s="252">
        <f>ROUND(0.000248*121934,2)</f>
        <v>30.24</v>
      </c>
      <c r="AF91" s="252" t="s">
        <v>966</v>
      </c>
      <c r="AG91" s="252">
        <v>0.5</v>
      </c>
      <c r="AH91" s="300">
        <v>8408814</v>
      </c>
      <c r="AI91" s="180">
        <v>7439976</v>
      </c>
      <c r="AL91" s="282" t="s">
        <v>979</v>
      </c>
      <c r="AM91" s="192">
        <f t="shared" si="16"/>
        <v>155</v>
      </c>
      <c r="AN91" s="18">
        <v>13</v>
      </c>
    </row>
    <row r="92" spans="1:41" s="18" customFormat="1" ht="24.95" customHeight="1">
      <c r="A92" s="243" t="s">
        <v>243</v>
      </c>
      <c r="B92" s="243" t="s">
        <v>83</v>
      </c>
      <c r="C92" s="243" t="s">
        <v>670</v>
      </c>
      <c r="D92" s="245" t="s">
        <v>527</v>
      </c>
      <c r="E92" s="243" t="s">
        <v>238</v>
      </c>
      <c r="F92" s="245" t="s">
        <v>560</v>
      </c>
      <c r="G92" s="243" t="s">
        <v>239</v>
      </c>
      <c r="H92" s="243" t="s">
        <v>15</v>
      </c>
      <c r="I92" s="246" t="s">
        <v>681</v>
      </c>
      <c r="J92" s="245">
        <v>40.40155</v>
      </c>
      <c r="K92" s="253" t="s">
        <v>56</v>
      </c>
      <c r="M92" s="243"/>
      <c r="N92" s="243" t="s">
        <v>240</v>
      </c>
      <c r="O92" s="243" t="s">
        <v>628</v>
      </c>
      <c r="P92" s="243" t="s">
        <v>16</v>
      </c>
      <c r="Q92" s="245">
        <v>1980</v>
      </c>
      <c r="R92" s="243" t="s">
        <v>241</v>
      </c>
      <c r="S92" s="243" t="s">
        <v>242</v>
      </c>
      <c r="T92" s="245" t="s">
        <v>8</v>
      </c>
      <c r="U92" s="245"/>
      <c r="V92" s="64" t="s">
        <v>771</v>
      </c>
      <c r="W92" s="58" t="s">
        <v>760</v>
      </c>
      <c r="X92" s="251" t="s">
        <v>806</v>
      </c>
      <c r="Y92" s="299" t="s">
        <v>976</v>
      </c>
      <c r="Z92" s="243"/>
      <c r="AA92" s="243"/>
      <c r="AB92" s="244"/>
      <c r="AC92" s="252" t="str">
        <f>E92</f>
        <v>6641511</v>
      </c>
      <c r="AD92" s="252"/>
      <c r="AE92" s="252">
        <f>ROUND(0.000248*121934,2)</f>
        <v>30.24</v>
      </c>
      <c r="AF92" s="252" t="s">
        <v>966</v>
      </c>
      <c r="AG92" s="252">
        <v>0</v>
      </c>
      <c r="AH92" s="300">
        <v>8460914</v>
      </c>
      <c r="AI92" s="180">
        <v>7439976</v>
      </c>
      <c r="AL92" s="282" t="s">
        <v>979</v>
      </c>
      <c r="AM92" s="192">
        <f t="shared" si="16"/>
        <v>155</v>
      </c>
      <c r="AN92" s="18">
        <v>13</v>
      </c>
    </row>
    <row r="93" spans="1:41" s="18" customFormat="1" ht="24.95" customHeight="1">
      <c r="A93" s="243" t="s">
        <v>243</v>
      </c>
      <c r="B93" s="243" t="s">
        <v>83</v>
      </c>
      <c r="C93" s="243" t="s">
        <v>670</v>
      </c>
      <c r="D93" s="245" t="s">
        <v>527</v>
      </c>
      <c r="E93" s="243" t="s">
        <v>238</v>
      </c>
      <c r="F93" s="245" t="s">
        <v>560</v>
      </c>
      <c r="G93" s="243" t="s">
        <v>239</v>
      </c>
      <c r="H93" s="243" t="s">
        <v>15</v>
      </c>
      <c r="I93" s="246" t="s">
        <v>681</v>
      </c>
      <c r="J93" s="245">
        <v>40.40155</v>
      </c>
      <c r="K93" s="253" t="s">
        <v>56</v>
      </c>
      <c r="M93" s="243"/>
      <c r="N93" s="243" t="s">
        <v>240</v>
      </c>
      <c r="O93" s="243" t="s">
        <v>628</v>
      </c>
      <c r="P93" s="243" t="s">
        <v>16</v>
      </c>
      <c r="Q93" s="245">
        <v>1980</v>
      </c>
      <c r="R93" s="243" t="s">
        <v>241</v>
      </c>
      <c r="S93" s="243" t="s">
        <v>242</v>
      </c>
      <c r="T93" s="245" t="s">
        <v>8</v>
      </c>
      <c r="U93" s="245"/>
      <c r="V93" s="64" t="s">
        <v>771</v>
      </c>
      <c r="W93" s="58" t="s">
        <v>760</v>
      </c>
      <c r="X93" s="251" t="s">
        <v>806</v>
      </c>
      <c r="Y93" s="299" t="s">
        <v>976</v>
      </c>
      <c r="Z93" s="243"/>
      <c r="AA93" s="243"/>
      <c r="AB93" s="244"/>
      <c r="AC93" s="252" t="str">
        <f>E93</f>
        <v>6641511</v>
      </c>
      <c r="AD93" s="252"/>
      <c r="AE93" s="252">
        <f>ROUND(0.000248*121934,2)</f>
        <v>30.24</v>
      </c>
      <c r="AF93" s="252" t="s">
        <v>966</v>
      </c>
      <c r="AG93" s="252">
        <v>0</v>
      </c>
      <c r="AH93" s="300">
        <v>97671514</v>
      </c>
      <c r="AI93" s="180">
        <v>7439976</v>
      </c>
      <c r="AL93" s="282" t="s">
        <v>979</v>
      </c>
      <c r="AM93" s="192">
        <f t="shared" si="16"/>
        <v>155</v>
      </c>
      <c r="AN93" s="18">
        <v>13</v>
      </c>
    </row>
    <row r="94" spans="1:41" s="18" customFormat="1" ht="24.95" customHeight="1">
      <c r="A94" s="3" t="s">
        <v>249</v>
      </c>
      <c r="B94" s="3" t="s">
        <v>236</v>
      </c>
      <c r="C94" s="3" t="s">
        <v>673</v>
      </c>
      <c r="D94" s="5" t="s">
        <v>559</v>
      </c>
      <c r="E94" s="3" t="s">
        <v>244</v>
      </c>
      <c r="F94" s="5" t="s">
        <v>561</v>
      </c>
      <c r="G94" s="3" t="s">
        <v>245</v>
      </c>
      <c r="H94" s="3" t="s">
        <v>15</v>
      </c>
      <c r="I94" s="11" t="s">
        <v>681</v>
      </c>
      <c r="J94" s="5">
        <v>382.86500000000001</v>
      </c>
      <c r="K94" s="35" t="s">
        <v>32</v>
      </c>
      <c r="L94" s="5">
        <v>1068.24</v>
      </c>
      <c r="M94" s="5">
        <v>72</v>
      </c>
      <c r="N94" s="3" t="s">
        <v>246</v>
      </c>
      <c r="O94" s="3" t="s">
        <v>246</v>
      </c>
      <c r="P94" s="3" t="s">
        <v>16</v>
      </c>
      <c r="Q94" s="5">
        <v>2008</v>
      </c>
      <c r="R94" s="3" t="s">
        <v>247</v>
      </c>
      <c r="S94" s="3" t="s">
        <v>248</v>
      </c>
      <c r="T94" s="5" t="s">
        <v>8</v>
      </c>
      <c r="U94" s="5"/>
      <c r="V94" s="63" t="s">
        <v>772</v>
      </c>
      <c r="W94" s="27" t="s">
        <v>505</v>
      </c>
      <c r="X94" s="249" t="s">
        <v>925</v>
      </c>
      <c r="Y94" s="19"/>
      <c r="Z94" s="3"/>
      <c r="AA94" s="3"/>
      <c r="AB94" s="4"/>
      <c r="AC94" s="119" t="str">
        <f t="shared" si="5"/>
        <v>6742911</v>
      </c>
      <c r="AD94" s="252" t="s">
        <v>915</v>
      </c>
      <c r="AE94" s="26"/>
      <c r="AF94" s="252" t="s">
        <v>810</v>
      </c>
      <c r="AG94" s="74">
        <v>0</v>
      </c>
      <c r="AH94" s="75"/>
      <c r="AI94" s="180">
        <v>7439976</v>
      </c>
      <c r="AJ94" s="75"/>
      <c r="AK94" s="78">
        <v>40805</v>
      </c>
      <c r="AL94" s="70" t="s">
        <v>791</v>
      </c>
      <c r="AM94" s="192">
        <f t="shared" si="16"/>
        <v>53</v>
      </c>
      <c r="AN94" s="70"/>
    </row>
    <row r="95" spans="1:41" s="18" customFormat="1" ht="24.95" customHeight="1">
      <c r="A95" s="3" t="s">
        <v>256</v>
      </c>
      <c r="B95" s="3" t="s">
        <v>255</v>
      </c>
      <c r="C95" s="3" t="s">
        <v>659</v>
      </c>
      <c r="D95" s="23" t="s">
        <v>563</v>
      </c>
      <c r="E95" s="3" t="s">
        <v>250</v>
      </c>
      <c r="F95" s="23" t="s">
        <v>562</v>
      </c>
      <c r="G95" s="3" t="s">
        <v>251</v>
      </c>
      <c r="H95" s="3" t="s">
        <v>15</v>
      </c>
      <c r="I95" s="11" t="s">
        <v>681</v>
      </c>
      <c r="J95" s="23">
        <v>274.66537600000004</v>
      </c>
      <c r="K95" s="35" t="s">
        <v>56</v>
      </c>
      <c r="L95" s="23">
        <v>131.1565839136</v>
      </c>
      <c r="M95" s="23">
        <v>131</v>
      </c>
      <c r="N95" s="3" t="s">
        <v>252</v>
      </c>
      <c r="O95" s="3" t="s">
        <v>613</v>
      </c>
      <c r="P95" s="3" t="s">
        <v>16</v>
      </c>
      <c r="Q95" s="5">
        <v>2008</v>
      </c>
      <c r="R95" s="3" t="s">
        <v>253</v>
      </c>
      <c r="S95" s="3" t="s">
        <v>254</v>
      </c>
      <c r="T95" s="5">
        <v>57.525636372255327</v>
      </c>
      <c r="U95" s="5" t="s">
        <v>487</v>
      </c>
      <c r="V95" s="46" t="s">
        <v>731</v>
      </c>
      <c r="W95" s="27" t="s">
        <v>505</v>
      </c>
      <c r="X95" s="179" t="s">
        <v>902</v>
      </c>
      <c r="Y95" s="189" t="s">
        <v>901</v>
      </c>
      <c r="Z95" s="3"/>
      <c r="AA95" s="3"/>
      <c r="AB95" s="4"/>
      <c r="AC95" s="119" t="str">
        <f t="shared" si="5"/>
        <v>7146811</v>
      </c>
      <c r="AD95" s="252" t="s">
        <v>915</v>
      </c>
      <c r="AE95" s="26"/>
      <c r="AF95" s="160" t="s">
        <v>810</v>
      </c>
      <c r="AG95" s="26">
        <v>0</v>
      </c>
      <c r="AI95" s="180">
        <v>7439976</v>
      </c>
      <c r="AM95" s="192">
        <f t="shared" si="16"/>
        <v>0</v>
      </c>
    </row>
    <row r="96" spans="1:41" s="18" customFormat="1" ht="24.95" customHeight="1">
      <c r="A96" s="243" t="s">
        <v>256</v>
      </c>
      <c r="B96" s="243" t="s">
        <v>255</v>
      </c>
      <c r="C96" s="243" t="s">
        <v>659</v>
      </c>
      <c r="D96" s="250" t="s">
        <v>563</v>
      </c>
      <c r="E96" s="243" t="s">
        <v>250</v>
      </c>
      <c r="F96" s="250" t="s">
        <v>562</v>
      </c>
      <c r="G96" s="243" t="s">
        <v>251</v>
      </c>
      <c r="H96" s="243" t="s">
        <v>15</v>
      </c>
      <c r="I96" s="246" t="s">
        <v>681</v>
      </c>
      <c r="J96" s="250">
        <v>274.66537600000004</v>
      </c>
      <c r="K96" s="253" t="s">
        <v>56</v>
      </c>
      <c r="L96" s="250">
        <v>131.1565839136</v>
      </c>
      <c r="M96" s="250">
        <v>131</v>
      </c>
      <c r="N96" s="243" t="s">
        <v>252</v>
      </c>
      <c r="O96" s="243" t="s">
        <v>613</v>
      </c>
      <c r="P96" s="243" t="s">
        <v>16</v>
      </c>
      <c r="Q96" s="245">
        <v>2008</v>
      </c>
      <c r="R96" s="243" t="s">
        <v>253</v>
      </c>
      <c r="S96" s="243" t="s">
        <v>254</v>
      </c>
      <c r="T96" s="245">
        <v>57.525636372255327</v>
      </c>
      <c r="U96" s="245" t="s">
        <v>487</v>
      </c>
      <c r="V96" s="46" t="s">
        <v>731</v>
      </c>
      <c r="W96" s="27" t="s">
        <v>505</v>
      </c>
      <c r="X96" s="179" t="s">
        <v>902</v>
      </c>
      <c r="Y96" s="189" t="s">
        <v>901</v>
      </c>
      <c r="Z96" s="243"/>
      <c r="AA96" s="243"/>
      <c r="AB96" s="244"/>
      <c r="AC96" s="252" t="str">
        <f t="shared" ref="AC96" si="19">E96</f>
        <v>7146811</v>
      </c>
      <c r="AD96" s="252" t="s">
        <v>915</v>
      </c>
      <c r="AE96" s="252"/>
      <c r="AF96" s="252" t="s">
        <v>811</v>
      </c>
      <c r="AG96" s="252">
        <v>1</v>
      </c>
      <c r="AH96" s="18">
        <v>27576114</v>
      </c>
      <c r="AI96" s="180">
        <v>7439976</v>
      </c>
      <c r="AL96" s="193" t="s">
        <v>894</v>
      </c>
      <c r="AM96" s="192">
        <f t="shared" ref="AM96" si="20">LEN(AL96)</f>
        <v>166</v>
      </c>
      <c r="AN96" s="18">
        <v>10</v>
      </c>
    </row>
    <row r="97" spans="1:41" s="18" customFormat="1" ht="24.95" customHeight="1">
      <c r="A97" s="3" t="s">
        <v>263</v>
      </c>
      <c r="B97" s="3" t="s">
        <v>262</v>
      </c>
      <c r="C97" s="3" t="s">
        <v>497</v>
      </c>
      <c r="D97" s="5" t="s">
        <v>565</v>
      </c>
      <c r="E97" s="117" t="s">
        <v>257</v>
      </c>
      <c r="F97" s="5" t="s">
        <v>564</v>
      </c>
      <c r="G97" s="3" t="s">
        <v>258</v>
      </c>
      <c r="H97" s="3" t="s">
        <v>15</v>
      </c>
      <c r="I97" s="11" t="s">
        <v>681</v>
      </c>
      <c r="J97" s="5">
        <v>170</v>
      </c>
      <c r="K97" s="35" t="s">
        <v>14</v>
      </c>
      <c r="L97" s="5" t="s">
        <v>635</v>
      </c>
      <c r="M97" s="23">
        <v>330.05</v>
      </c>
      <c r="N97" s="3" t="s">
        <v>259</v>
      </c>
      <c r="O97" s="3" t="s">
        <v>613</v>
      </c>
      <c r="P97" s="3" t="s">
        <v>16</v>
      </c>
      <c r="Q97" s="5">
        <v>2006</v>
      </c>
      <c r="R97" s="3" t="s">
        <v>260</v>
      </c>
      <c r="S97" s="3" t="s">
        <v>261</v>
      </c>
      <c r="T97" s="5">
        <v>163</v>
      </c>
      <c r="U97" s="5" t="s">
        <v>707</v>
      </c>
      <c r="V97" s="191" t="s">
        <v>773</v>
      </c>
      <c r="W97" s="49" t="s">
        <v>684</v>
      </c>
      <c r="X97" s="159" t="s">
        <v>819</v>
      </c>
      <c r="Y97" s="190" t="s">
        <v>906</v>
      </c>
      <c r="Z97" s="3"/>
      <c r="AA97" s="3"/>
      <c r="AB97" s="4"/>
      <c r="AC97" s="119" t="str">
        <f t="shared" si="5"/>
        <v>7286511</v>
      </c>
      <c r="AD97" s="252" t="s">
        <v>910</v>
      </c>
      <c r="AE97" s="26"/>
      <c r="AF97" s="160" t="s">
        <v>811</v>
      </c>
      <c r="AG97" s="26">
        <v>1</v>
      </c>
      <c r="AH97" s="18">
        <v>21280714</v>
      </c>
      <c r="AI97" s="180">
        <v>7439976</v>
      </c>
      <c r="AJ97" s="192" t="s">
        <v>907</v>
      </c>
      <c r="AK97" s="78">
        <v>40836</v>
      </c>
      <c r="AL97" s="193" t="s">
        <v>894</v>
      </c>
      <c r="AM97" s="192">
        <f t="shared" si="16"/>
        <v>166</v>
      </c>
      <c r="AN97" s="18">
        <v>10</v>
      </c>
    </row>
    <row r="98" spans="1:41" s="75" customFormat="1" ht="24.95" customHeight="1">
      <c r="A98" s="269" t="s">
        <v>270</v>
      </c>
      <c r="B98" s="269" t="s">
        <v>269</v>
      </c>
      <c r="C98" s="269" t="s">
        <v>660</v>
      </c>
      <c r="D98" s="270" t="s">
        <v>567</v>
      </c>
      <c r="E98" s="269" t="s">
        <v>264</v>
      </c>
      <c r="F98" s="270" t="s">
        <v>566</v>
      </c>
      <c r="G98" s="269" t="s">
        <v>265</v>
      </c>
      <c r="H98" s="269" t="s">
        <v>15</v>
      </c>
      <c r="I98" s="271" t="s">
        <v>681</v>
      </c>
      <c r="J98" s="270">
        <v>163.50947599999998</v>
      </c>
      <c r="K98" s="272" t="s">
        <v>683</v>
      </c>
      <c r="L98" s="274">
        <v>0.4</v>
      </c>
      <c r="M98" s="274">
        <v>61.04</v>
      </c>
      <c r="N98" s="269" t="s">
        <v>266</v>
      </c>
      <c r="O98" s="269" t="s">
        <v>629</v>
      </c>
      <c r="P98" s="269" t="s">
        <v>16</v>
      </c>
      <c r="Q98" s="270">
        <v>2008</v>
      </c>
      <c r="R98" s="269" t="s">
        <v>267</v>
      </c>
      <c r="S98" s="269" t="s">
        <v>268</v>
      </c>
      <c r="T98" s="270" t="s">
        <v>8</v>
      </c>
      <c r="U98" s="270"/>
      <c r="V98" s="277" t="s">
        <v>774</v>
      </c>
      <c r="W98" s="278" t="s">
        <v>505</v>
      </c>
      <c r="Y98" s="276"/>
      <c r="Z98" s="269"/>
      <c r="AA98" s="269"/>
      <c r="AB98" s="273"/>
      <c r="AC98" s="74" t="str">
        <f t="shared" si="5"/>
        <v>7290011</v>
      </c>
      <c r="AD98" s="74"/>
      <c r="AE98" s="74"/>
      <c r="AF98" s="74" t="s">
        <v>810</v>
      </c>
      <c r="AG98" s="74"/>
      <c r="AH98" s="317">
        <v>27858914</v>
      </c>
      <c r="AI98" s="180">
        <v>7439976</v>
      </c>
      <c r="AJ98" s="279" t="s">
        <v>635</v>
      </c>
      <c r="AM98" s="192">
        <f t="shared" si="16"/>
        <v>0</v>
      </c>
      <c r="AO98" s="312" t="s">
        <v>997</v>
      </c>
    </row>
    <row r="99" spans="1:41" s="18" customFormat="1" ht="24.95" customHeight="1">
      <c r="A99" s="3" t="s">
        <v>279</v>
      </c>
      <c r="B99" s="3" t="s">
        <v>93</v>
      </c>
      <c r="C99" s="3" t="s">
        <v>642</v>
      </c>
      <c r="D99" s="5" t="s">
        <v>530</v>
      </c>
      <c r="E99" s="3" t="s">
        <v>274</v>
      </c>
      <c r="F99" s="5" t="s">
        <v>568</v>
      </c>
      <c r="G99" s="3" t="s">
        <v>275</v>
      </c>
      <c r="H99" s="3" t="s">
        <v>15</v>
      </c>
      <c r="I99" s="11" t="s">
        <v>681</v>
      </c>
      <c r="J99" s="5">
        <v>7.4837112000000001</v>
      </c>
      <c r="K99" s="35" t="s">
        <v>56</v>
      </c>
      <c r="L99" s="17"/>
      <c r="M99" s="17"/>
      <c r="N99" s="3" t="s">
        <v>276</v>
      </c>
      <c r="O99" s="3" t="s">
        <v>8</v>
      </c>
      <c r="P99" s="3" t="s">
        <v>16</v>
      </c>
      <c r="Q99" s="5">
        <v>2008</v>
      </c>
      <c r="R99" s="3" t="s">
        <v>277</v>
      </c>
      <c r="S99" s="3" t="s">
        <v>278</v>
      </c>
      <c r="T99" s="5" t="s">
        <v>8</v>
      </c>
      <c r="U99" s="5"/>
      <c r="V99" s="63" t="s">
        <v>775</v>
      </c>
      <c r="W99" s="58" t="s">
        <v>760</v>
      </c>
      <c r="X99" s="133" t="s">
        <v>782</v>
      </c>
      <c r="Y99" s="135" t="s">
        <v>861</v>
      </c>
      <c r="Z99" s="130" t="s">
        <v>859</v>
      </c>
      <c r="AA99" s="134" t="s">
        <v>862</v>
      </c>
      <c r="AB99" s="132" t="s">
        <v>863</v>
      </c>
      <c r="AC99" s="119" t="str">
        <f t="shared" si="5"/>
        <v>7361711</v>
      </c>
      <c r="AD99" s="160"/>
      <c r="AE99" s="26"/>
      <c r="AF99" s="131" t="s">
        <v>814</v>
      </c>
      <c r="AG99" s="131">
        <v>0</v>
      </c>
      <c r="AI99" s="180">
        <v>7439976</v>
      </c>
      <c r="AK99" s="78">
        <v>40829</v>
      </c>
      <c r="AM99" s="192">
        <f t="shared" si="16"/>
        <v>0</v>
      </c>
    </row>
    <row r="100" spans="1:41" s="18" customFormat="1" ht="24.95" customHeight="1">
      <c r="A100" s="3" t="s">
        <v>285</v>
      </c>
      <c r="B100" s="3" t="s">
        <v>93</v>
      </c>
      <c r="C100" s="3" t="s">
        <v>654</v>
      </c>
      <c r="D100" s="5" t="s">
        <v>530</v>
      </c>
      <c r="E100" s="3" t="s">
        <v>280</v>
      </c>
      <c r="F100" s="5" t="s">
        <v>569</v>
      </c>
      <c r="G100" s="3" t="s">
        <v>281</v>
      </c>
      <c r="H100" s="3" t="s">
        <v>15</v>
      </c>
      <c r="I100" s="11" t="s">
        <v>681</v>
      </c>
      <c r="J100" s="5">
        <v>0.97745599999999999</v>
      </c>
      <c r="K100" s="35" t="s">
        <v>56</v>
      </c>
      <c r="M100" s="5">
        <v>0.8</v>
      </c>
      <c r="N100" s="3" t="s">
        <v>282</v>
      </c>
      <c r="O100" s="3" t="s">
        <v>613</v>
      </c>
      <c r="P100" s="3" t="s">
        <v>16</v>
      </c>
      <c r="Q100" s="5">
        <v>2008</v>
      </c>
      <c r="R100" s="3" t="s">
        <v>283</v>
      </c>
      <c r="S100" s="3" t="s">
        <v>284</v>
      </c>
      <c r="T100" s="5">
        <v>139.28959709316962</v>
      </c>
      <c r="U100" s="41" t="s">
        <v>697</v>
      </c>
      <c r="V100" s="45" t="s">
        <v>733</v>
      </c>
      <c r="W100" s="18" t="s">
        <v>684</v>
      </c>
      <c r="X100" s="146" t="s">
        <v>868</v>
      </c>
      <c r="Y100" s="183" t="s">
        <v>895</v>
      </c>
      <c r="Z100" s="141" t="s">
        <v>864</v>
      </c>
      <c r="AA100" s="145" t="s">
        <v>869</v>
      </c>
      <c r="AB100" s="144" t="s">
        <v>863</v>
      </c>
      <c r="AC100" s="119" t="str">
        <f t="shared" si="5"/>
        <v>7376911</v>
      </c>
      <c r="AD100" s="160"/>
      <c r="AE100" s="141">
        <v>120</v>
      </c>
      <c r="AF100" s="252" t="s">
        <v>966</v>
      </c>
      <c r="AG100" s="26">
        <v>1</v>
      </c>
      <c r="AH100" s="317">
        <v>124007314</v>
      </c>
      <c r="AI100" s="180">
        <v>7439976</v>
      </c>
      <c r="AJ100" s="142" t="s">
        <v>635</v>
      </c>
      <c r="AK100" s="78">
        <v>40829</v>
      </c>
      <c r="AL100" s="247" t="s">
        <v>926</v>
      </c>
      <c r="AM100" s="192">
        <f t="shared" si="16"/>
        <v>162</v>
      </c>
      <c r="AN100" s="18">
        <v>10</v>
      </c>
    </row>
    <row r="101" spans="1:41" s="18" customFormat="1" ht="24.95" customHeight="1">
      <c r="A101" s="243" t="s">
        <v>285</v>
      </c>
      <c r="B101" s="243" t="s">
        <v>93</v>
      </c>
      <c r="C101" s="243" t="s">
        <v>654</v>
      </c>
      <c r="D101" s="245" t="s">
        <v>530</v>
      </c>
      <c r="E101" s="243" t="s">
        <v>280</v>
      </c>
      <c r="F101" s="245" t="s">
        <v>569</v>
      </c>
      <c r="G101" s="243" t="s">
        <v>281</v>
      </c>
      <c r="H101" s="243" t="s">
        <v>15</v>
      </c>
      <c r="I101" s="246" t="s">
        <v>681</v>
      </c>
      <c r="J101" s="245">
        <v>0.97745599999999999</v>
      </c>
      <c r="K101" s="253" t="s">
        <v>56</v>
      </c>
      <c r="M101" s="245">
        <v>0.8</v>
      </c>
      <c r="N101" s="243" t="s">
        <v>282</v>
      </c>
      <c r="O101" s="243" t="s">
        <v>613</v>
      </c>
      <c r="P101" s="243" t="s">
        <v>16</v>
      </c>
      <c r="Q101" s="245">
        <v>2008</v>
      </c>
      <c r="R101" s="243" t="s">
        <v>283</v>
      </c>
      <c r="S101" s="243" t="s">
        <v>284</v>
      </c>
      <c r="T101" s="245">
        <v>139.28959709316962</v>
      </c>
      <c r="U101" s="41" t="s">
        <v>697</v>
      </c>
      <c r="V101" s="45" t="s">
        <v>733</v>
      </c>
      <c r="W101" s="18" t="s">
        <v>684</v>
      </c>
      <c r="X101" s="168" t="s">
        <v>868</v>
      </c>
      <c r="Y101" s="183" t="s">
        <v>895</v>
      </c>
      <c r="Z101" s="245" t="s">
        <v>864</v>
      </c>
      <c r="AA101" s="165" t="s">
        <v>869</v>
      </c>
      <c r="AB101" s="164" t="s">
        <v>863</v>
      </c>
      <c r="AC101" s="252" t="str">
        <f>E101</f>
        <v>7376911</v>
      </c>
      <c r="AD101" s="252"/>
      <c r="AE101" s="245">
        <v>120</v>
      </c>
      <c r="AF101" s="252" t="s">
        <v>811</v>
      </c>
      <c r="AG101" s="252">
        <v>1</v>
      </c>
      <c r="AH101" s="317">
        <v>124007314</v>
      </c>
      <c r="AI101" s="180">
        <v>7439976</v>
      </c>
      <c r="AJ101" s="142" t="s">
        <v>635</v>
      </c>
      <c r="AK101" s="78">
        <v>40829</v>
      </c>
      <c r="AL101" s="247" t="s">
        <v>894</v>
      </c>
      <c r="AM101" s="192">
        <f t="shared" si="16"/>
        <v>166</v>
      </c>
      <c r="AN101" s="18">
        <v>10</v>
      </c>
    </row>
    <row r="102" spans="1:41" s="18" customFormat="1" ht="24.95" customHeight="1">
      <c r="A102" s="3" t="s">
        <v>292</v>
      </c>
      <c r="B102" s="3" t="s">
        <v>291</v>
      </c>
      <c r="C102" s="3" t="s">
        <v>665</v>
      </c>
      <c r="D102" s="5" t="s">
        <v>571</v>
      </c>
      <c r="E102" s="3" t="s">
        <v>286</v>
      </c>
      <c r="F102" s="5" t="s">
        <v>570</v>
      </c>
      <c r="G102" s="3" t="s">
        <v>287</v>
      </c>
      <c r="H102" s="3" t="s">
        <v>15</v>
      </c>
      <c r="I102" s="11" t="s">
        <v>681</v>
      </c>
      <c r="J102" s="5">
        <v>49.4</v>
      </c>
      <c r="K102" s="35" t="s">
        <v>32</v>
      </c>
      <c r="L102" s="3"/>
      <c r="M102" s="3"/>
      <c r="N102" s="243" t="s">
        <v>288</v>
      </c>
      <c r="O102" s="3" t="s">
        <v>288</v>
      </c>
      <c r="P102" s="3" t="s">
        <v>16</v>
      </c>
      <c r="Q102" s="5">
        <v>1980</v>
      </c>
      <c r="R102" s="3" t="s">
        <v>289</v>
      </c>
      <c r="S102" s="3" t="s">
        <v>290</v>
      </c>
      <c r="T102" s="5" t="s">
        <v>8</v>
      </c>
      <c r="U102" s="5"/>
      <c r="V102" s="60" t="s">
        <v>759</v>
      </c>
      <c r="W102" s="58" t="s">
        <v>760</v>
      </c>
      <c r="Y102" s="19"/>
      <c r="Z102" s="243">
        <v>47.914000000000001</v>
      </c>
      <c r="AA102" s="249" t="s">
        <v>927</v>
      </c>
      <c r="AB102" s="244" t="s">
        <v>928</v>
      </c>
      <c r="AC102" s="119" t="str">
        <f t="shared" si="5"/>
        <v>7410711</v>
      </c>
      <c r="AD102" s="252" t="s">
        <v>910</v>
      </c>
      <c r="AE102" s="26">
        <v>48.3416</v>
      </c>
      <c r="AF102" s="252" t="s">
        <v>966</v>
      </c>
      <c r="AG102" s="26">
        <f>Z102/SUM($Z$102:$Z$106)</f>
        <v>0.99115461631389945</v>
      </c>
      <c r="AH102" s="317">
        <v>94224914</v>
      </c>
      <c r="AI102" s="180">
        <v>7439976</v>
      </c>
      <c r="AL102" s="354" t="s">
        <v>932</v>
      </c>
      <c r="AM102" s="192">
        <f t="shared" si="16"/>
        <v>79</v>
      </c>
      <c r="AN102" s="18">
        <v>9</v>
      </c>
    </row>
    <row r="103" spans="1:41" s="18" customFormat="1" ht="24.95" customHeight="1">
      <c r="A103" s="243" t="s">
        <v>292</v>
      </c>
      <c r="B103" s="243" t="s">
        <v>291</v>
      </c>
      <c r="C103" s="243" t="s">
        <v>665</v>
      </c>
      <c r="D103" s="245" t="s">
        <v>571</v>
      </c>
      <c r="E103" s="243" t="s">
        <v>286</v>
      </c>
      <c r="F103" s="245" t="s">
        <v>570</v>
      </c>
      <c r="G103" s="243" t="s">
        <v>287</v>
      </c>
      <c r="H103" s="243" t="s">
        <v>15</v>
      </c>
      <c r="I103" s="246" t="s">
        <v>681</v>
      </c>
      <c r="J103" s="245">
        <v>49.4</v>
      </c>
      <c r="K103" s="253" t="s">
        <v>32</v>
      </c>
      <c r="L103" s="243"/>
      <c r="M103" s="243"/>
      <c r="N103" s="243" t="s">
        <v>288</v>
      </c>
      <c r="O103" s="243" t="s">
        <v>288</v>
      </c>
      <c r="P103" s="243" t="s">
        <v>16</v>
      </c>
      <c r="Q103" s="245">
        <v>1980</v>
      </c>
      <c r="R103" s="243" t="s">
        <v>289</v>
      </c>
      <c r="S103" s="243" t="s">
        <v>290</v>
      </c>
      <c r="T103" s="245" t="s">
        <v>8</v>
      </c>
      <c r="U103" s="245"/>
      <c r="V103" s="60" t="s">
        <v>759</v>
      </c>
      <c r="W103" s="58" t="s">
        <v>760</v>
      </c>
      <c r="Y103" s="19"/>
      <c r="Z103" s="242">
        <v>2.2100000000000002E-2</v>
      </c>
      <c r="AA103" s="242">
        <v>23</v>
      </c>
      <c r="AB103" s="242">
        <v>2</v>
      </c>
      <c r="AC103" s="252" t="str">
        <f>E103</f>
        <v>7410711</v>
      </c>
      <c r="AD103" s="252" t="s">
        <v>910</v>
      </c>
      <c r="AE103" s="252">
        <v>48.3416</v>
      </c>
      <c r="AF103" s="252" t="s">
        <v>966</v>
      </c>
      <c r="AG103" s="252">
        <f>Z103/SUM($Z$102:$Z$106)</f>
        <v>4.571631886408394E-4</v>
      </c>
      <c r="AH103" s="317">
        <v>17309314</v>
      </c>
      <c r="AI103" s="180">
        <v>7439976</v>
      </c>
      <c r="AL103" s="249" t="s">
        <v>933</v>
      </c>
      <c r="AM103" s="192">
        <f t="shared" si="16"/>
        <v>88</v>
      </c>
      <c r="AN103" s="18">
        <v>9</v>
      </c>
    </row>
    <row r="104" spans="1:41" s="18" customFormat="1" ht="24.95" customHeight="1">
      <c r="A104" s="243" t="s">
        <v>292</v>
      </c>
      <c r="B104" s="243" t="s">
        <v>291</v>
      </c>
      <c r="C104" s="243" t="s">
        <v>665</v>
      </c>
      <c r="D104" s="245" t="s">
        <v>571</v>
      </c>
      <c r="E104" s="243" t="s">
        <v>286</v>
      </c>
      <c r="F104" s="245" t="s">
        <v>570</v>
      </c>
      <c r="G104" s="243" t="s">
        <v>287</v>
      </c>
      <c r="H104" s="243" t="s">
        <v>15</v>
      </c>
      <c r="I104" s="246" t="s">
        <v>681</v>
      </c>
      <c r="J104" s="245">
        <v>49.4</v>
      </c>
      <c r="K104" s="253" t="s">
        <v>32</v>
      </c>
      <c r="L104" s="243"/>
      <c r="M104" s="243"/>
      <c r="N104" s="243" t="s">
        <v>288</v>
      </c>
      <c r="O104" s="243" t="s">
        <v>288</v>
      </c>
      <c r="P104" s="243" t="s">
        <v>16</v>
      </c>
      <c r="Q104" s="245">
        <v>1980</v>
      </c>
      <c r="R104" s="243" t="s">
        <v>289</v>
      </c>
      <c r="S104" s="243" t="s">
        <v>290</v>
      </c>
      <c r="T104" s="245" t="s">
        <v>8</v>
      </c>
      <c r="U104" s="245"/>
      <c r="V104" s="60" t="s">
        <v>759</v>
      </c>
      <c r="W104" s="58" t="s">
        <v>760</v>
      </c>
      <c r="Y104" s="19"/>
      <c r="Z104" s="242">
        <v>0.1615</v>
      </c>
      <c r="AA104" s="242" t="s">
        <v>929</v>
      </c>
      <c r="AB104" s="242" t="s">
        <v>928</v>
      </c>
      <c r="AC104" s="252" t="str">
        <f>E104</f>
        <v>7410711</v>
      </c>
      <c r="AD104" s="252" t="s">
        <v>910</v>
      </c>
      <c r="AE104" s="252">
        <v>48.3416</v>
      </c>
      <c r="AF104" s="252" t="s">
        <v>966</v>
      </c>
      <c r="AG104" s="252">
        <f>Z104/SUM($Z$102:$Z$106)</f>
        <v>3.3408079169907493E-3</v>
      </c>
      <c r="AH104" s="317">
        <v>17310414</v>
      </c>
      <c r="AI104" s="180">
        <v>7439976</v>
      </c>
      <c r="AL104" s="249" t="s">
        <v>934</v>
      </c>
      <c r="AM104" s="192">
        <f t="shared" si="16"/>
        <v>104</v>
      </c>
      <c r="AN104" s="18">
        <v>9</v>
      </c>
      <c r="AO104" s="354" t="s">
        <v>1063</v>
      </c>
    </row>
    <row r="105" spans="1:41" s="18" customFormat="1" ht="24.95" customHeight="1">
      <c r="A105" s="243" t="s">
        <v>292</v>
      </c>
      <c r="B105" s="243" t="s">
        <v>291</v>
      </c>
      <c r="C105" s="243" t="s">
        <v>665</v>
      </c>
      <c r="D105" s="245" t="s">
        <v>571</v>
      </c>
      <c r="E105" s="243" t="s">
        <v>286</v>
      </c>
      <c r="F105" s="245" t="s">
        <v>570</v>
      </c>
      <c r="G105" s="243" t="s">
        <v>287</v>
      </c>
      <c r="H105" s="243" t="s">
        <v>15</v>
      </c>
      <c r="I105" s="246" t="s">
        <v>681</v>
      </c>
      <c r="J105" s="245">
        <v>49.4</v>
      </c>
      <c r="K105" s="253" t="s">
        <v>32</v>
      </c>
      <c r="L105" s="243"/>
      <c r="M105" s="243"/>
      <c r="N105" s="243" t="s">
        <v>288</v>
      </c>
      <c r="O105" s="243" t="s">
        <v>288</v>
      </c>
      <c r="P105" s="243" t="s">
        <v>16</v>
      </c>
      <c r="Q105" s="245">
        <v>1980</v>
      </c>
      <c r="R105" s="243" t="s">
        <v>289</v>
      </c>
      <c r="S105" s="243" t="s">
        <v>290</v>
      </c>
      <c r="T105" s="245" t="s">
        <v>8</v>
      </c>
      <c r="U105" s="245"/>
      <c r="V105" s="60" t="s">
        <v>759</v>
      </c>
      <c r="W105" s="58" t="s">
        <v>760</v>
      </c>
      <c r="Y105" s="19"/>
      <c r="Z105" s="242">
        <v>8.8999999999999996E-2</v>
      </c>
      <c r="AA105" s="242" t="s">
        <v>930</v>
      </c>
      <c r="AB105" s="242" t="s">
        <v>928</v>
      </c>
      <c r="AC105" s="252" t="str">
        <f>E105</f>
        <v>7410711</v>
      </c>
      <c r="AD105" s="252" t="s">
        <v>910</v>
      </c>
      <c r="AE105" s="252">
        <v>48.3416</v>
      </c>
      <c r="AF105" s="252" t="s">
        <v>966</v>
      </c>
      <c r="AG105" s="252">
        <f>Z105/SUM($Z$102:$Z$106)</f>
        <v>1.8410644248431991E-3</v>
      </c>
      <c r="AH105" s="317">
        <v>94225014</v>
      </c>
      <c r="AI105" s="180">
        <v>7439976</v>
      </c>
      <c r="AL105" s="249" t="s">
        <v>935</v>
      </c>
      <c r="AM105" s="192">
        <f t="shared" si="16"/>
        <v>90</v>
      </c>
      <c r="AN105" s="18">
        <v>9</v>
      </c>
    </row>
    <row r="106" spans="1:41" s="18" customFormat="1" ht="24.95" customHeight="1">
      <c r="A106" s="243" t="s">
        <v>292</v>
      </c>
      <c r="B106" s="243" t="s">
        <v>291</v>
      </c>
      <c r="C106" s="243" t="s">
        <v>665</v>
      </c>
      <c r="D106" s="245" t="s">
        <v>571</v>
      </c>
      <c r="E106" s="243" t="s">
        <v>286</v>
      </c>
      <c r="F106" s="245" t="s">
        <v>570</v>
      </c>
      <c r="G106" s="243" t="s">
        <v>287</v>
      </c>
      <c r="H106" s="243" t="s">
        <v>15</v>
      </c>
      <c r="I106" s="246" t="s">
        <v>681</v>
      </c>
      <c r="J106" s="245">
        <v>49.4</v>
      </c>
      <c r="K106" s="253" t="s">
        <v>32</v>
      </c>
      <c r="L106" s="243"/>
      <c r="M106" s="243"/>
      <c r="N106" s="243" t="s">
        <v>288</v>
      </c>
      <c r="O106" s="243" t="s">
        <v>288</v>
      </c>
      <c r="P106" s="243" t="s">
        <v>16</v>
      </c>
      <c r="Q106" s="245">
        <v>1980</v>
      </c>
      <c r="R106" s="243" t="s">
        <v>289</v>
      </c>
      <c r="S106" s="243" t="s">
        <v>290</v>
      </c>
      <c r="T106" s="245" t="s">
        <v>8</v>
      </c>
      <c r="U106" s="245"/>
      <c r="V106" s="60" t="s">
        <v>759</v>
      </c>
      <c r="W106" s="58" t="s">
        <v>760</v>
      </c>
      <c r="Y106" s="19"/>
      <c r="Z106" s="242">
        <v>0.155</v>
      </c>
      <c r="AA106" s="242" t="s">
        <v>931</v>
      </c>
      <c r="AB106" s="242" t="s">
        <v>928</v>
      </c>
      <c r="AC106" s="252" t="str">
        <f>E106</f>
        <v>7410711</v>
      </c>
      <c r="AD106" s="252" t="s">
        <v>910</v>
      </c>
      <c r="AE106" s="252">
        <v>48.3416</v>
      </c>
      <c r="AF106" s="252" t="s">
        <v>966</v>
      </c>
      <c r="AG106" s="252">
        <f>Z106/SUM($Z$102:$Z$106)</f>
        <v>3.2063481556257965E-3</v>
      </c>
      <c r="AH106" s="317">
        <v>94225114</v>
      </c>
      <c r="AI106" s="180">
        <v>7439976</v>
      </c>
      <c r="AL106" s="249" t="s">
        <v>936</v>
      </c>
      <c r="AM106" s="192">
        <f t="shared" si="16"/>
        <v>91</v>
      </c>
      <c r="AN106" s="18">
        <v>9</v>
      </c>
    </row>
    <row r="107" spans="1:41" s="18" customFormat="1" ht="24.95" customHeight="1">
      <c r="A107" s="3" t="s">
        <v>299</v>
      </c>
      <c r="B107" s="3" t="s">
        <v>298</v>
      </c>
      <c r="C107" s="3" t="s">
        <v>672</v>
      </c>
      <c r="D107" s="5" t="s">
        <v>573</v>
      </c>
      <c r="E107" s="3" t="s">
        <v>293</v>
      </c>
      <c r="F107" s="5" t="s">
        <v>572</v>
      </c>
      <c r="G107" s="3" t="s">
        <v>294</v>
      </c>
      <c r="H107" s="3" t="s">
        <v>15</v>
      </c>
      <c r="I107" s="11" t="s">
        <v>681</v>
      </c>
      <c r="J107" s="5">
        <v>110.2</v>
      </c>
      <c r="K107" s="35" t="s">
        <v>14</v>
      </c>
      <c r="M107" s="5">
        <v>112.3</v>
      </c>
      <c r="N107" s="3" t="s">
        <v>295</v>
      </c>
      <c r="O107" s="3" t="s">
        <v>259</v>
      </c>
      <c r="P107" s="3" t="s">
        <v>16</v>
      </c>
      <c r="Q107" s="5">
        <v>2008</v>
      </c>
      <c r="R107" s="3" t="s">
        <v>296</v>
      </c>
      <c r="S107" s="3" t="s">
        <v>297</v>
      </c>
      <c r="T107" s="5">
        <v>174.33000679364469</v>
      </c>
      <c r="U107" s="5" t="s">
        <v>708</v>
      </c>
      <c r="V107" s="46" t="s">
        <v>732</v>
      </c>
      <c r="W107" s="28" t="s">
        <v>684</v>
      </c>
      <c r="X107" s="186" t="s">
        <v>886</v>
      </c>
      <c r="Y107" s="187" t="s">
        <v>900</v>
      </c>
      <c r="Z107" s="99">
        <v>313.45</v>
      </c>
      <c r="AA107" s="99">
        <v>1457</v>
      </c>
      <c r="AB107" s="188">
        <v>1</v>
      </c>
      <c r="AC107" s="119" t="str">
        <f t="shared" ref="AC107:AC148" si="21">E107</f>
        <v>7427611</v>
      </c>
      <c r="AD107" s="160" t="s">
        <v>910</v>
      </c>
      <c r="AE107" s="99">
        <v>313.45</v>
      </c>
      <c r="AF107" s="252" t="s">
        <v>966</v>
      </c>
      <c r="AG107" s="26">
        <v>1</v>
      </c>
      <c r="AH107" s="317">
        <v>513714</v>
      </c>
      <c r="AI107" s="180">
        <v>7439976</v>
      </c>
      <c r="AL107" s="352" t="s">
        <v>1058</v>
      </c>
      <c r="AM107" s="192">
        <f t="shared" si="16"/>
        <v>234</v>
      </c>
      <c r="AN107" s="18">
        <v>10</v>
      </c>
    </row>
    <row r="108" spans="1:41" s="18" customFormat="1" ht="24.95" customHeight="1">
      <c r="A108" s="243" t="s">
        <v>299</v>
      </c>
      <c r="B108" s="243" t="s">
        <v>298</v>
      </c>
      <c r="C108" s="243" t="s">
        <v>672</v>
      </c>
      <c r="D108" s="245" t="s">
        <v>573</v>
      </c>
      <c r="E108" s="243" t="s">
        <v>293</v>
      </c>
      <c r="F108" s="245" t="s">
        <v>572</v>
      </c>
      <c r="G108" s="243" t="s">
        <v>294</v>
      </c>
      <c r="H108" s="243" t="s">
        <v>15</v>
      </c>
      <c r="I108" s="246" t="s">
        <v>681</v>
      </c>
      <c r="J108" s="245">
        <v>110.2</v>
      </c>
      <c r="K108" s="253" t="s">
        <v>14</v>
      </c>
      <c r="M108" s="245">
        <v>112.3</v>
      </c>
      <c r="N108" s="243" t="s">
        <v>295</v>
      </c>
      <c r="O108" s="243" t="s">
        <v>259</v>
      </c>
      <c r="P108" s="243" t="s">
        <v>16</v>
      </c>
      <c r="Q108" s="245">
        <v>2008</v>
      </c>
      <c r="R108" s="243" t="s">
        <v>296</v>
      </c>
      <c r="S108" s="243" t="s">
        <v>297</v>
      </c>
      <c r="T108" s="245">
        <v>174.33000679364469</v>
      </c>
      <c r="U108" s="245" t="s">
        <v>708</v>
      </c>
      <c r="V108" s="46" t="s">
        <v>732</v>
      </c>
      <c r="W108" s="28" t="s">
        <v>684</v>
      </c>
      <c r="X108" s="186" t="s">
        <v>886</v>
      </c>
      <c r="Y108" s="187" t="s">
        <v>900</v>
      </c>
      <c r="Z108" s="99">
        <v>313.45</v>
      </c>
      <c r="AA108" s="99">
        <v>1457</v>
      </c>
      <c r="AB108" s="188">
        <v>1</v>
      </c>
      <c r="AC108" s="252" t="str">
        <f t="shared" ref="AC108" si="22">E108</f>
        <v>7427611</v>
      </c>
      <c r="AD108" s="252" t="s">
        <v>910</v>
      </c>
      <c r="AE108" s="99" t="s">
        <v>635</v>
      </c>
      <c r="AF108" s="252" t="s">
        <v>811</v>
      </c>
      <c r="AG108" s="252">
        <v>1</v>
      </c>
      <c r="AH108" s="317">
        <v>513714</v>
      </c>
      <c r="AI108" s="180">
        <v>7439976</v>
      </c>
      <c r="AL108" s="330" t="s">
        <v>894</v>
      </c>
      <c r="AM108" s="192">
        <f t="shared" ref="AM108" si="23">LEN(AL108)</f>
        <v>166</v>
      </c>
      <c r="AN108" s="18">
        <v>10</v>
      </c>
    </row>
    <row r="109" spans="1:41" s="18" customFormat="1" ht="24.95" customHeight="1">
      <c r="A109" s="3" t="s">
        <v>304</v>
      </c>
      <c r="B109" s="3" t="s">
        <v>176</v>
      </c>
      <c r="C109" s="3" t="s">
        <v>650</v>
      </c>
      <c r="D109" s="5" t="s">
        <v>547</v>
      </c>
      <c r="E109" s="3" t="s">
        <v>300</v>
      </c>
      <c r="F109" s="5" t="s">
        <v>574</v>
      </c>
      <c r="G109" s="3" t="s">
        <v>301</v>
      </c>
      <c r="H109" s="3" t="s">
        <v>15</v>
      </c>
      <c r="I109" s="11" t="s">
        <v>681</v>
      </c>
      <c r="J109" s="5">
        <v>488.72842600000001</v>
      </c>
      <c r="K109" s="35" t="s">
        <v>56</v>
      </c>
      <c r="L109" s="17"/>
      <c r="M109" s="3"/>
      <c r="N109" s="3" t="s">
        <v>302</v>
      </c>
      <c r="O109" s="3" t="s">
        <v>613</v>
      </c>
      <c r="P109" s="3" t="s">
        <v>16</v>
      </c>
      <c r="Q109" s="5">
        <v>2008</v>
      </c>
      <c r="R109" s="3" t="s">
        <v>303</v>
      </c>
      <c r="S109" s="3" t="s">
        <v>175</v>
      </c>
      <c r="T109" s="5" t="s">
        <v>8</v>
      </c>
      <c r="U109" s="5"/>
      <c r="V109" s="13" t="s">
        <v>776</v>
      </c>
      <c r="W109" s="58" t="s">
        <v>760</v>
      </c>
      <c r="X109" s="105" t="s">
        <v>782</v>
      </c>
      <c r="Y109" s="106" t="s">
        <v>834</v>
      </c>
      <c r="Z109" s="3" t="s">
        <v>835</v>
      </c>
      <c r="AA109" s="3" t="s">
        <v>836</v>
      </c>
      <c r="AB109" s="4" t="s">
        <v>830</v>
      </c>
      <c r="AC109" s="119" t="str">
        <f t="shared" si="21"/>
        <v>7430011</v>
      </c>
      <c r="AD109" s="160"/>
      <c r="AE109" s="26"/>
      <c r="AF109" s="26" t="s">
        <v>810</v>
      </c>
      <c r="AG109" s="26">
        <v>0</v>
      </c>
      <c r="AI109" s="180">
        <v>7439976</v>
      </c>
      <c r="AM109" s="192">
        <f t="shared" si="16"/>
        <v>0</v>
      </c>
      <c r="AO109" s="107" t="s">
        <v>839</v>
      </c>
    </row>
    <row r="110" spans="1:41" s="18" customFormat="1" ht="24.95" customHeight="1">
      <c r="A110" s="3" t="s">
        <v>310</v>
      </c>
      <c r="B110" s="3" t="s">
        <v>272</v>
      </c>
      <c r="C110" s="3" t="s">
        <v>309</v>
      </c>
      <c r="D110" s="23" t="s">
        <v>576</v>
      </c>
      <c r="E110" s="3" t="s">
        <v>305</v>
      </c>
      <c r="F110" s="23" t="s">
        <v>575</v>
      </c>
      <c r="G110" s="3" t="s">
        <v>306</v>
      </c>
      <c r="H110" s="3" t="s">
        <v>15</v>
      </c>
      <c r="I110" s="11" t="s">
        <v>681</v>
      </c>
      <c r="J110" s="23">
        <v>2</v>
      </c>
      <c r="K110" s="35" t="s">
        <v>14</v>
      </c>
      <c r="M110" s="23">
        <v>24.939999999999998</v>
      </c>
      <c r="N110" s="243" t="s">
        <v>307</v>
      </c>
      <c r="O110" s="3" t="s">
        <v>613</v>
      </c>
      <c r="P110" s="3" t="s">
        <v>16</v>
      </c>
      <c r="Q110" s="5">
        <v>1996</v>
      </c>
      <c r="R110" s="3" t="s">
        <v>308</v>
      </c>
      <c r="S110" s="3" t="s">
        <v>309</v>
      </c>
      <c r="T110" s="5" t="s">
        <v>8</v>
      </c>
      <c r="U110" s="5"/>
      <c r="V110" s="15" t="s">
        <v>777</v>
      </c>
      <c r="W110" s="40" t="s">
        <v>721</v>
      </c>
      <c r="X110" s="257" t="s">
        <v>952</v>
      </c>
      <c r="Y110" s="19"/>
      <c r="Z110" s="3"/>
      <c r="AA110" s="3"/>
      <c r="AB110" s="4"/>
      <c r="AC110" s="119" t="str">
        <f t="shared" si="21"/>
        <v>7434211</v>
      </c>
      <c r="AD110" s="160"/>
      <c r="AE110" s="26"/>
      <c r="AF110" s="252" t="s">
        <v>808</v>
      </c>
      <c r="AG110" s="26">
        <v>1</v>
      </c>
      <c r="AH110" s="317">
        <v>100691614</v>
      </c>
      <c r="AI110" s="180">
        <v>7439976</v>
      </c>
      <c r="AJ110" s="266" t="s">
        <v>635</v>
      </c>
      <c r="AK110" s="78">
        <v>40840</v>
      </c>
      <c r="AL110" s="315" t="s">
        <v>1002</v>
      </c>
      <c r="AM110" s="192">
        <f t="shared" si="16"/>
        <v>46</v>
      </c>
      <c r="AN110" s="18">
        <v>2</v>
      </c>
    </row>
    <row r="111" spans="1:41" s="18" customFormat="1" ht="24.95" customHeight="1">
      <c r="A111" s="3" t="s">
        <v>317</v>
      </c>
      <c r="B111" s="3" t="s">
        <v>316</v>
      </c>
      <c r="C111" s="3" t="s">
        <v>662</v>
      </c>
      <c r="D111" s="23" t="s">
        <v>8</v>
      </c>
      <c r="E111" s="3" t="s">
        <v>311</v>
      </c>
      <c r="F111" s="23" t="s">
        <v>8</v>
      </c>
      <c r="G111" s="3" t="s">
        <v>312</v>
      </c>
      <c r="H111" s="3" t="s">
        <v>15</v>
      </c>
      <c r="I111" s="11" t="s">
        <v>681</v>
      </c>
      <c r="J111" s="23">
        <v>16.290948</v>
      </c>
      <c r="K111" s="35" t="s">
        <v>56</v>
      </c>
      <c r="L111" s="17"/>
      <c r="M111" s="17"/>
      <c r="N111" s="243" t="s">
        <v>313</v>
      </c>
      <c r="O111" s="3" t="s">
        <v>613</v>
      </c>
      <c r="P111" s="3" t="s">
        <v>16</v>
      </c>
      <c r="Q111" s="5">
        <v>2008</v>
      </c>
      <c r="R111" s="3" t="s">
        <v>314</v>
      </c>
      <c r="S111" s="3" t="s">
        <v>315</v>
      </c>
      <c r="T111" s="5" t="s">
        <v>8</v>
      </c>
      <c r="U111" s="5"/>
      <c r="V111" s="15" t="s">
        <v>734</v>
      </c>
      <c r="W111" s="58" t="s">
        <v>760</v>
      </c>
      <c r="X111" s="249" t="s">
        <v>937</v>
      </c>
      <c r="Y111" s="19"/>
      <c r="Z111" s="3"/>
      <c r="AA111" s="3"/>
      <c r="AB111" s="4"/>
      <c r="AC111" s="119" t="str">
        <f t="shared" si="21"/>
        <v>7436511</v>
      </c>
      <c r="AD111" s="252" t="s">
        <v>910</v>
      </c>
      <c r="AE111" s="26"/>
      <c r="AF111" s="252" t="s">
        <v>938</v>
      </c>
      <c r="AG111" s="26">
        <v>1</v>
      </c>
      <c r="AH111" s="317">
        <v>21201914</v>
      </c>
      <c r="AI111" s="180">
        <v>7439976</v>
      </c>
      <c r="AK111" s="78">
        <v>40814</v>
      </c>
      <c r="AL111" s="315" t="s">
        <v>1000</v>
      </c>
      <c r="AM111" s="192">
        <f t="shared" si="16"/>
        <v>179</v>
      </c>
      <c r="AN111" s="82">
        <v>2</v>
      </c>
      <c r="AO111" t="s">
        <v>797</v>
      </c>
    </row>
    <row r="112" spans="1:41" s="18" customFormat="1" ht="24.95" customHeight="1">
      <c r="A112" s="3" t="s">
        <v>324</v>
      </c>
      <c r="B112" s="3" t="s">
        <v>323</v>
      </c>
      <c r="C112" s="3" t="s">
        <v>671</v>
      </c>
      <c r="D112" s="245" t="s">
        <v>578</v>
      </c>
      <c r="E112" s="3" t="s">
        <v>318</v>
      </c>
      <c r="F112" s="5" t="s">
        <v>577</v>
      </c>
      <c r="G112" s="3" t="s">
        <v>319</v>
      </c>
      <c r="H112" s="3" t="s">
        <v>15</v>
      </c>
      <c r="I112" s="11" t="s">
        <v>681</v>
      </c>
      <c r="J112" s="5">
        <v>69.87</v>
      </c>
      <c r="K112" s="35" t="s">
        <v>14</v>
      </c>
      <c r="L112" s="17"/>
      <c r="M112" s="5">
        <v>69</v>
      </c>
      <c r="N112" s="3" t="s">
        <v>320</v>
      </c>
      <c r="O112" s="3" t="s">
        <v>613</v>
      </c>
      <c r="P112" s="3" t="s">
        <v>16</v>
      </c>
      <c r="Q112" s="5">
        <v>2009</v>
      </c>
      <c r="R112" s="3" t="s">
        <v>321</v>
      </c>
      <c r="S112" s="3" t="s">
        <v>322</v>
      </c>
      <c r="T112" s="5" t="s">
        <v>8</v>
      </c>
      <c r="U112" s="5"/>
      <c r="V112" s="15" t="s">
        <v>777</v>
      </c>
      <c r="W112" s="40" t="s">
        <v>721</v>
      </c>
      <c r="X112" s="266" t="s">
        <v>819</v>
      </c>
      <c r="Y112" s="19" t="s">
        <v>980</v>
      </c>
      <c r="Z112" s="3"/>
      <c r="AA112" s="3"/>
      <c r="AB112" s="4"/>
      <c r="AC112" s="119" t="str">
        <f t="shared" si="21"/>
        <v>7503711</v>
      </c>
      <c r="AD112" s="160"/>
      <c r="AE112" s="26"/>
      <c r="AF112" s="252" t="s">
        <v>808</v>
      </c>
      <c r="AG112" s="26">
        <f>ROUND(AJ112/14025,4)</f>
        <v>0.40400000000000003</v>
      </c>
      <c r="AH112" s="317">
        <v>2226614</v>
      </c>
      <c r="AI112" s="180">
        <v>7439976</v>
      </c>
      <c r="AJ112" s="242">
        <v>5666</v>
      </c>
      <c r="AK112" s="78">
        <v>40842</v>
      </c>
      <c r="AL112" s="315" t="s">
        <v>1005</v>
      </c>
      <c r="AM112" s="192">
        <f t="shared" si="16"/>
        <v>59</v>
      </c>
      <c r="AN112" s="18">
        <v>2</v>
      </c>
    </row>
    <row r="113" spans="1:42" s="18" customFormat="1" ht="24.95" customHeight="1">
      <c r="A113" s="243" t="s">
        <v>324</v>
      </c>
      <c r="B113" s="243" t="s">
        <v>323</v>
      </c>
      <c r="C113" s="243" t="s">
        <v>671</v>
      </c>
      <c r="D113" s="245" t="s">
        <v>578</v>
      </c>
      <c r="E113" s="243" t="s">
        <v>318</v>
      </c>
      <c r="F113" s="245" t="s">
        <v>577</v>
      </c>
      <c r="G113" s="243" t="s">
        <v>319</v>
      </c>
      <c r="H113" s="243" t="s">
        <v>15</v>
      </c>
      <c r="I113" s="246" t="s">
        <v>681</v>
      </c>
      <c r="J113" s="245">
        <v>69.87</v>
      </c>
      <c r="K113" s="253" t="s">
        <v>14</v>
      </c>
      <c r="L113" s="248"/>
      <c r="M113" s="245">
        <v>69</v>
      </c>
      <c r="N113" s="243" t="s">
        <v>320</v>
      </c>
      <c r="O113" s="243" t="s">
        <v>613</v>
      </c>
      <c r="P113" s="243" t="s">
        <v>16</v>
      </c>
      <c r="Q113" s="245">
        <v>2009</v>
      </c>
      <c r="R113" s="243" t="s">
        <v>321</v>
      </c>
      <c r="S113" s="243" t="s">
        <v>322</v>
      </c>
      <c r="T113" s="245" t="s">
        <v>8</v>
      </c>
      <c r="U113" s="245"/>
      <c r="V113" s="207" t="s">
        <v>777</v>
      </c>
      <c r="W113" s="40" t="s">
        <v>721</v>
      </c>
      <c r="X113" s="266" t="s">
        <v>819</v>
      </c>
      <c r="Y113" s="19" t="s">
        <v>980</v>
      </c>
      <c r="Z113" s="243"/>
      <c r="AA113" s="243"/>
      <c r="AB113" s="244"/>
      <c r="AC113" s="252" t="str">
        <f>E113</f>
        <v>7503711</v>
      </c>
      <c r="AD113" s="252"/>
      <c r="AE113" s="252"/>
      <c r="AF113" s="252" t="s">
        <v>808</v>
      </c>
      <c r="AG113" s="252">
        <f>ROUND(AJ113/14025,4)</f>
        <v>0.59599999999999997</v>
      </c>
      <c r="AH113" s="317">
        <v>2226714</v>
      </c>
      <c r="AI113" s="180">
        <v>7439976</v>
      </c>
      <c r="AJ113" s="242">
        <v>8359</v>
      </c>
      <c r="AL113" s="315" t="s">
        <v>1005</v>
      </c>
      <c r="AM113" s="192">
        <f t="shared" si="16"/>
        <v>59</v>
      </c>
      <c r="AN113" s="18">
        <v>2</v>
      </c>
    </row>
    <row r="114" spans="1:42" s="18" customFormat="1" ht="24.95" customHeight="1">
      <c r="A114" s="243" t="s">
        <v>324</v>
      </c>
      <c r="B114" s="243" t="s">
        <v>323</v>
      </c>
      <c r="C114" s="243" t="s">
        <v>671</v>
      </c>
      <c r="D114" s="245" t="s">
        <v>578</v>
      </c>
      <c r="E114" s="243" t="s">
        <v>318</v>
      </c>
      <c r="F114" s="245" t="s">
        <v>577</v>
      </c>
      <c r="G114" s="243" t="s">
        <v>319</v>
      </c>
      <c r="H114" s="243" t="s">
        <v>15</v>
      </c>
      <c r="I114" s="246" t="s">
        <v>681</v>
      </c>
      <c r="J114" s="245">
        <v>69.87</v>
      </c>
      <c r="K114" s="253" t="s">
        <v>14</v>
      </c>
      <c r="L114" s="248"/>
      <c r="M114" s="245">
        <v>69</v>
      </c>
      <c r="N114" s="243" t="s">
        <v>320</v>
      </c>
      <c r="O114" s="243" t="s">
        <v>613</v>
      </c>
      <c r="P114" s="243" t="s">
        <v>16</v>
      </c>
      <c r="Q114" s="245">
        <v>2009</v>
      </c>
      <c r="R114" s="243" t="s">
        <v>321</v>
      </c>
      <c r="S114" s="243" t="s">
        <v>322</v>
      </c>
      <c r="T114" s="245" t="s">
        <v>8</v>
      </c>
      <c r="U114" s="245"/>
      <c r="V114" s="207" t="s">
        <v>777</v>
      </c>
      <c r="W114" s="40" t="s">
        <v>721</v>
      </c>
      <c r="X114" s="266" t="s">
        <v>819</v>
      </c>
      <c r="Y114" s="19" t="s">
        <v>980</v>
      </c>
      <c r="Z114" s="243"/>
      <c r="AA114" s="243"/>
      <c r="AB114" s="244"/>
      <c r="AC114" s="252" t="str">
        <f>E114</f>
        <v>7503711</v>
      </c>
      <c r="AD114" s="252"/>
      <c r="AE114" s="252"/>
      <c r="AF114" s="252" t="s">
        <v>808</v>
      </c>
      <c r="AG114" s="252">
        <v>0</v>
      </c>
      <c r="AH114" s="317">
        <v>87675114</v>
      </c>
      <c r="AI114" s="180">
        <v>7439976</v>
      </c>
      <c r="AJ114" s="18">
        <v>0</v>
      </c>
      <c r="AL114" s="315" t="s">
        <v>1005</v>
      </c>
      <c r="AM114" s="192">
        <f t="shared" si="16"/>
        <v>59</v>
      </c>
      <c r="AN114" s="18">
        <v>2</v>
      </c>
    </row>
    <row r="115" spans="1:42" s="18" customFormat="1" ht="24.95" customHeight="1">
      <c r="A115" s="3" t="s">
        <v>329</v>
      </c>
      <c r="B115" s="3" t="s">
        <v>328</v>
      </c>
      <c r="C115" s="3" t="s">
        <v>488</v>
      </c>
      <c r="D115" s="5" t="s">
        <v>579</v>
      </c>
      <c r="E115" s="3" t="s">
        <v>330</v>
      </c>
      <c r="F115" s="5" t="s">
        <v>580</v>
      </c>
      <c r="G115" s="3" t="s">
        <v>331</v>
      </c>
      <c r="H115" s="3" t="s">
        <v>15</v>
      </c>
      <c r="I115" s="11" t="s">
        <v>681</v>
      </c>
      <c r="J115" s="5">
        <v>98.272999999999996</v>
      </c>
      <c r="K115" s="35" t="s">
        <v>14</v>
      </c>
      <c r="L115" s="3"/>
      <c r="M115" s="23">
        <v>92</v>
      </c>
      <c r="N115" s="3" t="s">
        <v>332</v>
      </c>
      <c r="O115" s="3" t="s">
        <v>613</v>
      </c>
      <c r="P115" s="3" t="s">
        <v>16</v>
      </c>
      <c r="Q115" s="5">
        <v>2008</v>
      </c>
      <c r="R115" s="3" t="s">
        <v>333</v>
      </c>
      <c r="S115" s="3" t="s">
        <v>334</v>
      </c>
      <c r="T115" s="5" t="s">
        <v>8</v>
      </c>
      <c r="U115" s="5"/>
      <c r="V115" s="15" t="s">
        <v>777</v>
      </c>
      <c r="W115" s="40" t="s">
        <v>721</v>
      </c>
      <c r="X115" s="86" t="s">
        <v>798</v>
      </c>
      <c r="Y115" s="87" t="s">
        <v>799</v>
      </c>
      <c r="Z115" s="88">
        <f>1278849*0.000072</f>
        <v>92.077128000000002</v>
      </c>
      <c r="AA115" s="89">
        <v>122164</v>
      </c>
      <c r="AB115" s="89">
        <v>96721</v>
      </c>
      <c r="AC115" s="119" t="str">
        <f t="shared" si="21"/>
        <v>7892311</v>
      </c>
      <c r="AD115" s="160"/>
      <c r="AE115" s="114"/>
      <c r="AF115" s="26" t="s">
        <v>810</v>
      </c>
      <c r="AG115" s="26">
        <v>0</v>
      </c>
      <c r="AH115" s="317">
        <v>42583114</v>
      </c>
      <c r="AI115" s="180">
        <v>7439976</v>
      </c>
      <c r="AJ115" s="110" t="s">
        <v>841</v>
      </c>
      <c r="AK115" s="111" t="s">
        <v>842</v>
      </c>
      <c r="AL115" s="102" t="s">
        <v>824</v>
      </c>
      <c r="AM115" s="192">
        <f t="shared" si="16"/>
        <v>55</v>
      </c>
      <c r="AN115" s="102"/>
      <c r="AO115" s="328" t="s">
        <v>1045</v>
      </c>
      <c r="AP115" s="102" t="s">
        <v>826</v>
      </c>
    </row>
    <row r="116" spans="1:42" s="18" customFormat="1" ht="24.95" customHeight="1">
      <c r="A116" s="243" t="s">
        <v>329</v>
      </c>
      <c r="B116" s="243" t="s">
        <v>328</v>
      </c>
      <c r="C116" s="243" t="s">
        <v>488</v>
      </c>
      <c r="D116" s="245" t="s">
        <v>579</v>
      </c>
      <c r="E116">
        <v>7892211</v>
      </c>
      <c r="F116" t="s">
        <v>1046</v>
      </c>
      <c r="G116" s="243" t="s">
        <v>635</v>
      </c>
      <c r="H116" s="243" t="s">
        <v>15</v>
      </c>
      <c r="I116" s="246" t="s">
        <v>681</v>
      </c>
      <c r="J116" s="245" t="s">
        <v>635</v>
      </c>
      <c r="K116" s="253" t="s">
        <v>635</v>
      </c>
      <c r="L116" s="243"/>
      <c r="M116" s="250" t="s">
        <v>635</v>
      </c>
      <c r="N116" t="s">
        <v>1047</v>
      </c>
      <c r="O116" s="243" t="s">
        <v>613</v>
      </c>
      <c r="P116" s="243" t="s">
        <v>16</v>
      </c>
      <c r="Q116" s="245">
        <v>2008</v>
      </c>
      <c r="R116" s="243" t="s">
        <v>333</v>
      </c>
      <c r="S116" s="243" t="s">
        <v>334</v>
      </c>
      <c r="T116" s="245">
        <v>55.106037134527099</v>
      </c>
      <c r="U116" s="305" t="s">
        <v>1048</v>
      </c>
      <c r="V116" s="207" t="s">
        <v>635</v>
      </c>
      <c r="W116" s="335" t="s">
        <v>505</v>
      </c>
      <c r="X116" s="336" t="s">
        <v>1049</v>
      </c>
      <c r="Y116" s="87" t="s">
        <v>635</v>
      </c>
      <c r="Z116" s="88" t="s">
        <v>635</v>
      </c>
      <c r="AA116" s="89" t="s">
        <v>635</v>
      </c>
      <c r="AB116" s="89" t="s">
        <v>635</v>
      </c>
      <c r="AC116" s="252">
        <f t="shared" ref="AC116" si="24">E116</f>
        <v>7892211</v>
      </c>
      <c r="AD116" s="252"/>
      <c r="AE116" s="114"/>
      <c r="AF116" s="252" t="s">
        <v>811</v>
      </c>
      <c r="AG116" s="339">
        <v>0.14093959731543623</v>
      </c>
      <c r="AH116" s="341">
        <v>93745914</v>
      </c>
      <c r="AI116" s="180">
        <v>7439976</v>
      </c>
      <c r="AJ116" s="328" t="s">
        <v>635</v>
      </c>
      <c r="AK116" s="111">
        <v>40862</v>
      </c>
      <c r="AL116" s="330" t="s">
        <v>1050</v>
      </c>
      <c r="AM116" s="192">
        <f t="shared" ref="AM116" si="25">LEN(AL116)</f>
        <v>220</v>
      </c>
      <c r="AN116" s="18">
        <v>10</v>
      </c>
      <c r="AO116" s="328" t="s">
        <v>1045</v>
      </c>
      <c r="AP116" s="102"/>
    </row>
    <row r="117" spans="1:42" s="18" customFormat="1" ht="24.95" customHeight="1">
      <c r="A117" s="243" t="s">
        <v>329</v>
      </c>
      <c r="B117" s="243" t="s">
        <v>328</v>
      </c>
      <c r="C117" s="243" t="s">
        <v>488</v>
      </c>
      <c r="D117" s="245" t="s">
        <v>579</v>
      </c>
      <c r="E117" s="242">
        <v>7892211</v>
      </c>
      <c r="F117" s="242" t="s">
        <v>1046</v>
      </c>
      <c r="G117" s="243" t="s">
        <v>635</v>
      </c>
      <c r="H117" s="243" t="s">
        <v>15</v>
      </c>
      <c r="I117" s="246" t="s">
        <v>681</v>
      </c>
      <c r="J117" s="245" t="s">
        <v>635</v>
      </c>
      <c r="K117" s="253" t="s">
        <v>635</v>
      </c>
      <c r="L117" s="243"/>
      <c r="M117" s="250" t="s">
        <v>635</v>
      </c>
      <c r="N117" s="242" t="s">
        <v>1047</v>
      </c>
      <c r="O117" s="243" t="s">
        <v>613</v>
      </c>
      <c r="P117" s="243" t="s">
        <v>16</v>
      </c>
      <c r="Q117" s="245">
        <v>2008</v>
      </c>
      <c r="R117" s="243" t="s">
        <v>333</v>
      </c>
      <c r="S117" s="243" t="s">
        <v>334</v>
      </c>
      <c r="T117" s="245">
        <v>55.106037134527099</v>
      </c>
      <c r="U117" s="305" t="s">
        <v>1048</v>
      </c>
      <c r="V117" s="207" t="s">
        <v>635</v>
      </c>
      <c r="W117" s="335" t="s">
        <v>505</v>
      </c>
      <c r="X117" s="336" t="s">
        <v>1049</v>
      </c>
      <c r="Y117" s="87" t="s">
        <v>635</v>
      </c>
      <c r="Z117" s="88" t="s">
        <v>635</v>
      </c>
      <c r="AA117" s="89" t="s">
        <v>635</v>
      </c>
      <c r="AB117" s="89" t="s">
        <v>635</v>
      </c>
      <c r="AC117" s="252">
        <f t="shared" ref="AC117" si="26">E117</f>
        <v>7892211</v>
      </c>
      <c r="AD117" s="252"/>
      <c r="AE117" s="114"/>
      <c r="AF117" s="252" t="s">
        <v>811</v>
      </c>
      <c r="AG117" s="339">
        <v>0.85906040268456374</v>
      </c>
      <c r="AH117" s="341">
        <v>93746014</v>
      </c>
      <c r="AI117" s="180">
        <v>7439976</v>
      </c>
      <c r="AJ117" s="328" t="s">
        <v>635</v>
      </c>
      <c r="AK117" s="111">
        <v>40862</v>
      </c>
      <c r="AL117" s="330" t="s">
        <v>1050</v>
      </c>
      <c r="AM117" s="192">
        <f t="shared" ref="AM117" si="27">LEN(AL117)</f>
        <v>220</v>
      </c>
      <c r="AN117" s="18">
        <v>10</v>
      </c>
      <c r="AO117" s="328" t="s">
        <v>1045</v>
      </c>
      <c r="AP117" s="102" t="s">
        <v>826</v>
      </c>
    </row>
    <row r="118" spans="1:42" s="18" customFormat="1" ht="24.95" customHeight="1">
      <c r="A118" s="3" t="s">
        <v>339</v>
      </c>
      <c r="B118" s="3" t="s">
        <v>54</v>
      </c>
      <c r="C118" s="3" t="s">
        <v>338</v>
      </c>
      <c r="D118" s="23" t="s">
        <v>519</v>
      </c>
      <c r="E118" s="117" t="s">
        <v>855</v>
      </c>
      <c r="F118" s="23" t="s">
        <v>581</v>
      </c>
      <c r="G118" s="3" t="s">
        <v>335</v>
      </c>
      <c r="H118" s="3" t="s">
        <v>15</v>
      </c>
      <c r="I118" s="11" t="s">
        <v>681</v>
      </c>
      <c r="J118" s="23">
        <v>329.46975000000003</v>
      </c>
      <c r="K118" s="35" t="s">
        <v>683</v>
      </c>
      <c r="L118" s="5">
        <v>0.18121679999999996</v>
      </c>
      <c r="M118" s="23">
        <v>48</v>
      </c>
      <c r="N118" s="3" t="s">
        <v>336</v>
      </c>
      <c r="O118" s="3" t="s">
        <v>613</v>
      </c>
      <c r="P118" s="3" t="s">
        <v>16</v>
      </c>
      <c r="Q118" s="5">
        <v>2008</v>
      </c>
      <c r="R118" s="3" t="s">
        <v>337</v>
      </c>
      <c r="S118" s="3" t="s">
        <v>338</v>
      </c>
      <c r="T118" s="5" t="s">
        <v>8</v>
      </c>
      <c r="U118" s="5"/>
      <c r="V118" s="66" t="s">
        <v>778</v>
      </c>
      <c r="W118" s="40" t="s">
        <v>721</v>
      </c>
      <c r="X118" s="67" t="s">
        <v>783</v>
      </c>
      <c r="Y118" s="68" t="s">
        <v>784</v>
      </c>
      <c r="Z118" s="3"/>
      <c r="AA118" s="3"/>
      <c r="AB118" s="4"/>
      <c r="AC118" s="119" t="str">
        <f t="shared" si="21"/>
        <v>7913311</v>
      </c>
      <c r="AD118" s="160"/>
      <c r="AE118" s="26"/>
      <c r="AF118" s="26" t="s">
        <v>808</v>
      </c>
      <c r="AG118" s="252">
        <v>1</v>
      </c>
      <c r="AH118" s="320">
        <v>86323214</v>
      </c>
      <c r="AI118" s="180">
        <v>7439976</v>
      </c>
      <c r="AJ118" s="282" t="s">
        <v>818</v>
      </c>
      <c r="AK118" s="78">
        <v>40805</v>
      </c>
      <c r="AL118" s="315" t="s">
        <v>1006</v>
      </c>
      <c r="AM118" s="192">
        <f t="shared" si="16"/>
        <v>98</v>
      </c>
      <c r="AN118" s="18">
        <v>2</v>
      </c>
    </row>
    <row r="119" spans="1:42" s="18" customFormat="1" ht="24.95" customHeight="1">
      <c r="A119" s="243" t="s">
        <v>339</v>
      </c>
      <c r="B119" s="243" t="s">
        <v>54</v>
      </c>
      <c r="C119" s="243" t="s">
        <v>338</v>
      </c>
      <c r="D119" s="250" t="s">
        <v>519</v>
      </c>
      <c r="E119" s="205" t="s">
        <v>855</v>
      </c>
      <c r="F119" s="250" t="s">
        <v>581</v>
      </c>
      <c r="G119" s="243" t="s">
        <v>335</v>
      </c>
      <c r="H119" s="243" t="s">
        <v>15</v>
      </c>
      <c r="I119" s="246" t="s">
        <v>681</v>
      </c>
      <c r="J119" s="250">
        <v>329.46975000000003</v>
      </c>
      <c r="K119" s="253" t="s">
        <v>683</v>
      </c>
      <c r="L119" s="245">
        <v>0.18121679999999996</v>
      </c>
      <c r="M119" s="250">
        <v>48</v>
      </c>
      <c r="N119" s="243" t="s">
        <v>336</v>
      </c>
      <c r="O119" s="243" t="s">
        <v>613</v>
      </c>
      <c r="P119" s="243" t="s">
        <v>16</v>
      </c>
      <c r="Q119" s="245">
        <v>2008</v>
      </c>
      <c r="R119" s="243" t="s">
        <v>337</v>
      </c>
      <c r="S119" s="243" t="s">
        <v>338</v>
      </c>
      <c r="T119" s="245" t="s">
        <v>8</v>
      </c>
      <c r="U119" s="245"/>
      <c r="V119" s="66" t="s">
        <v>778</v>
      </c>
      <c r="W119" s="40" t="s">
        <v>721</v>
      </c>
      <c r="X119" s="67" t="s">
        <v>783</v>
      </c>
      <c r="Y119" s="68" t="s">
        <v>784</v>
      </c>
      <c r="Z119" s="243"/>
      <c r="AA119" s="243"/>
      <c r="AB119" s="244"/>
      <c r="AC119" s="252" t="str">
        <f>E119</f>
        <v>7913311</v>
      </c>
      <c r="AD119" s="252"/>
      <c r="AE119" s="252"/>
      <c r="AF119" s="252" t="s">
        <v>808</v>
      </c>
      <c r="AG119" s="252">
        <v>0</v>
      </c>
      <c r="AH119" s="321">
        <v>86323314</v>
      </c>
      <c r="AI119" s="180">
        <v>7439976</v>
      </c>
      <c r="AJ119" s="282" t="s">
        <v>981</v>
      </c>
      <c r="AK119" s="78">
        <v>40805</v>
      </c>
      <c r="AL119" s="315" t="s">
        <v>1007</v>
      </c>
      <c r="AM119" s="192">
        <f t="shared" si="16"/>
        <v>74</v>
      </c>
      <c r="AN119" s="18">
        <v>2</v>
      </c>
    </row>
    <row r="120" spans="1:42" s="18" customFormat="1" ht="24.95" customHeight="1">
      <c r="A120" s="3" t="s">
        <v>345</v>
      </c>
      <c r="B120" s="3" t="s">
        <v>272</v>
      </c>
      <c r="C120" s="3" t="s">
        <v>641</v>
      </c>
      <c r="D120" s="5" t="s">
        <v>576</v>
      </c>
      <c r="E120" s="3" t="s">
        <v>340</v>
      </c>
      <c r="F120" s="5" t="s">
        <v>582</v>
      </c>
      <c r="G120" s="3" t="s">
        <v>341</v>
      </c>
      <c r="H120" s="3" t="s">
        <v>15</v>
      </c>
      <c r="I120" s="11" t="s">
        <v>681</v>
      </c>
      <c r="J120" s="5">
        <v>319</v>
      </c>
      <c r="K120" s="35" t="s">
        <v>14</v>
      </c>
      <c r="M120" s="5">
        <v>161</v>
      </c>
      <c r="N120" s="243" t="s">
        <v>342</v>
      </c>
      <c r="O120" s="3" t="s">
        <v>613</v>
      </c>
      <c r="P120" s="3" t="s">
        <v>16</v>
      </c>
      <c r="Q120" s="5">
        <v>1997</v>
      </c>
      <c r="R120" s="3" t="s">
        <v>343</v>
      </c>
      <c r="S120" s="3" t="s">
        <v>344</v>
      </c>
      <c r="T120" s="5" t="s">
        <v>8</v>
      </c>
      <c r="U120" s="5"/>
      <c r="V120" s="15" t="s">
        <v>777</v>
      </c>
      <c r="W120" s="40" t="s">
        <v>721</v>
      </c>
      <c r="X120" s="257" t="s">
        <v>952</v>
      </c>
      <c r="Y120" s="19"/>
      <c r="Z120" s="3"/>
      <c r="AA120" s="3"/>
      <c r="AB120" s="4"/>
      <c r="AC120" s="119" t="str">
        <f t="shared" si="21"/>
        <v>7921911</v>
      </c>
      <c r="AD120" s="160"/>
      <c r="AE120" s="26"/>
      <c r="AF120" s="252" t="s">
        <v>808</v>
      </c>
      <c r="AG120" s="26">
        <v>0.33329999999999999</v>
      </c>
      <c r="AH120" s="317">
        <v>100666414</v>
      </c>
      <c r="AI120" s="180">
        <v>7439976</v>
      </c>
      <c r="AK120" s="78">
        <v>40840</v>
      </c>
      <c r="AL120" s="315" t="s">
        <v>1008</v>
      </c>
      <c r="AM120" s="192">
        <f t="shared" si="16"/>
        <v>80</v>
      </c>
      <c r="AN120" s="18">
        <v>2</v>
      </c>
    </row>
    <row r="121" spans="1:42" s="18" customFormat="1" ht="24.95" customHeight="1">
      <c r="A121" s="243" t="s">
        <v>345</v>
      </c>
      <c r="B121" s="243" t="s">
        <v>272</v>
      </c>
      <c r="C121" s="243" t="s">
        <v>641</v>
      </c>
      <c r="D121" s="245" t="s">
        <v>576</v>
      </c>
      <c r="E121" s="243" t="s">
        <v>340</v>
      </c>
      <c r="F121" s="245" t="s">
        <v>582</v>
      </c>
      <c r="G121" s="243" t="s">
        <v>341</v>
      </c>
      <c r="H121" s="243" t="s">
        <v>15</v>
      </c>
      <c r="I121" s="246" t="s">
        <v>681</v>
      </c>
      <c r="J121" s="245">
        <v>319</v>
      </c>
      <c r="K121" s="253" t="s">
        <v>14</v>
      </c>
      <c r="M121" s="245">
        <v>161</v>
      </c>
      <c r="N121" s="243" t="s">
        <v>342</v>
      </c>
      <c r="O121" s="243" t="s">
        <v>613</v>
      </c>
      <c r="P121" s="243" t="s">
        <v>16</v>
      </c>
      <c r="Q121" s="245">
        <v>1997</v>
      </c>
      <c r="R121" s="243" t="s">
        <v>343</v>
      </c>
      <c r="S121" s="243" t="s">
        <v>344</v>
      </c>
      <c r="T121" s="245" t="s">
        <v>8</v>
      </c>
      <c r="U121" s="245"/>
      <c r="V121" s="207" t="s">
        <v>777</v>
      </c>
      <c r="W121" s="40" t="s">
        <v>721</v>
      </c>
      <c r="X121" s="257" t="s">
        <v>952</v>
      </c>
      <c r="Y121" s="19"/>
      <c r="Z121" s="243"/>
      <c r="AA121" s="243"/>
      <c r="AB121" s="244"/>
      <c r="AC121" s="252" t="str">
        <f>E121</f>
        <v>7921911</v>
      </c>
      <c r="AD121" s="252"/>
      <c r="AE121" s="252"/>
      <c r="AF121" s="252" t="s">
        <v>808</v>
      </c>
      <c r="AG121" s="252">
        <f>ROUND(0.3333/0.9999,4)</f>
        <v>0.33329999999999999</v>
      </c>
      <c r="AH121" s="317">
        <v>100666314</v>
      </c>
      <c r="AI121" s="180">
        <v>7439976</v>
      </c>
      <c r="AK121" s="78">
        <v>40840</v>
      </c>
      <c r="AL121" s="315" t="s">
        <v>1009</v>
      </c>
      <c r="AM121" s="192">
        <f t="shared" si="16"/>
        <v>81</v>
      </c>
      <c r="AN121" s="18">
        <v>2</v>
      </c>
    </row>
    <row r="122" spans="1:42" s="18" customFormat="1" ht="24.95" customHeight="1">
      <c r="A122" s="243" t="s">
        <v>345</v>
      </c>
      <c r="B122" s="243" t="s">
        <v>272</v>
      </c>
      <c r="C122" s="243" t="s">
        <v>641</v>
      </c>
      <c r="D122" s="245" t="s">
        <v>576</v>
      </c>
      <c r="E122" s="243" t="s">
        <v>340</v>
      </c>
      <c r="F122" s="245" t="s">
        <v>582</v>
      </c>
      <c r="G122" s="243" t="s">
        <v>341</v>
      </c>
      <c r="H122" s="243" t="s">
        <v>15</v>
      </c>
      <c r="I122" s="246" t="s">
        <v>681</v>
      </c>
      <c r="J122" s="245">
        <v>319</v>
      </c>
      <c r="K122" s="253" t="s">
        <v>14</v>
      </c>
      <c r="M122" s="245">
        <v>161</v>
      </c>
      <c r="N122" s="243" t="s">
        <v>342</v>
      </c>
      <c r="O122" s="243" t="s">
        <v>613</v>
      </c>
      <c r="P122" s="243" t="s">
        <v>16</v>
      </c>
      <c r="Q122" s="245">
        <v>1997</v>
      </c>
      <c r="R122" s="243" t="s">
        <v>343</v>
      </c>
      <c r="S122" s="243" t="s">
        <v>344</v>
      </c>
      <c r="T122" s="245" t="s">
        <v>8</v>
      </c>
      <c r="U122" s="245"/>
      <c r="V122" s="207" t="s">
        <v>777</v>
      </c>
      <c r="W122" s="40" t="s">
        <v>721</v>
      </c>
      <c r="X122" s="257" t="s">
        <v>952</v>
      </c>
      <c r="Y122" s="19"/>
      <c r="Z122" s="243"/>
      <c r="AA122" s="243"/>
      <c r="AB122" s="244"/>
      <c r="AC122" s="252" t="str">
        <f>E122</f>
        <v>7921911</v>
      </c>
      <c r="AD122" s="252"/>
      <c r="AE122" s="252"/>
      <c r="AF122" s="252" t="s">
        <v>808</v>
      </c>
      <c r="AG122" s="252">
        <f>ROUND(0.3333/0.9999,4)</f>
        <v>0.33329999999999999</v>
      </c>
      <c r="AH122" s="317">
        <v>100666214</v>
      </c>
      <c r="AI122" s="180">
        <v>7439976</v>
      </c>
      <c r="AK122" s="78">
        <v>40840</v>
      </c>
      <c r="AL122" s="315" t="s">
        <v>1009</v>
      </c>
      <c r="AM122" s="192">
        <f t="shared" si="16"/>
        <v>81</v>
      </c>
      <c r="AN122" s="18">
        <v>2</v>
      </c>
    </row>
    <row r="123" spans="1:42" s="18" customFormat="1" ht="24.95" customHeight="1">
      <c r="A123" s="3" t="s">
        <v>76</v>
      </c>
      <c r="B123" s="3" t="s">
        <v>68</v>
      </c>
      <c r="C123" s="3" t="s">
        <v>470</v>
      </c>
      <c r="D123" s="5" t="s">
        <v>525</v>
      </c>
      <c r="E123" s="3" t="s">
        <v>347</v>
      </c>
      <c r="F123" s="5" t="s">
        <v>583</v>
      </c>
      <c r="G123" s="3" t="s">
        <v>348</v>
      </c>
      <c r="H123" s="3" t="s">
        <v>15</v>
      </c>
      <c r="I123" s="11" t="s">
        <v>681</v>
      </c>
      <c r="J123" s="3"/>
      <c r="K123" s="35" t="s">
        <v>635</v>
      </c>
      <c r="M123" s="3"/>
      <c r="N123" s="3" t="s">
        <v>349</v>
      </c>
      <c r="O123" s="3" t="s">
        <v>613</v>
      </c>
      <c r="P123" s="3" t="s">
        <v>16</v>
      </c>
      <c r="Q123" s="5">
        <v>2008</v>
      </c>
      <c r="R123" s="3" t="s">
        <v>350</v>
      </c>
      <c r="S123" s="3" t="s">
        <v>351</v>
      </c>
      <c r="T123" s="5">
        <v>46.431983411730805</v>
      </c>
      <c r="U123" s="5" t="s">
        <v>698</v>
      </c>
      <c r="V123" s="46" t="s">
        <v>732</v>
      </c>
      <c r="W123" s="25" t="s">
        <v>684</v>
      </c>
      <c r="X123" s="235" t="s">
        <v>940</v>
      </c>
      <c r="Y123" s="91" t="s">
        <v>802</v>
      </c>
      <c r="Z123" s="88"/>
      <c r="AA123" s="88"/>
      <c r="AB123" s="92"/>
      <c r="AC123" s="119" t="str">
        <f t="shared" si="21"/>
        <v>7991611</v>
      </c>
      <c r="AD123" s="160"/>
      <c r="AE123" s="93"/>
      <c r="AF123" s="252" t="s">
        <v>810</v>
      </c>
      <c r="AG123" s="26">
        <v>0</v>
      </c>
      <c r="AI123" s="180">
        <v>7439976</v>
      </c>
      <c r="AM123" s="192">
        <f t="shared" si="16"/>
        <v>0</v>
      </c>
      <c r="AO123" s="249" t="s">
        <v>939</v>
      </c>
    </row>
    <row r="124" spans="1:42" s="18" customFormat="1" ht="24.95" customHeight="1">
      <c r="A124" s="243" t="s">
        <v>76</v>
      </c>
      <c r="B124" s="243" t="s">
        <v>68</v>
      </c>
      <c r="C124" s="243" t="s">
        <v>470</v>
      </c>
      <c r="D124" s="245" t="s">
        <v>525</v>
      </c>
      <c r="E124" s="243" t="s">
        <v>347</v>
      </c>
      <c r="F124" s="245" t="s">
        <v>583</v>
      </c>
      <c r="G124" s="243" t="s">
        <v>348</v>
      </c>
      <c r="H124" s="243" t="s">
        <v>15</v>
      </c>
      <c r="I124" s="246" t="s">
        <v>681</v>
      </c>
      <c r="J124" s="243"/>
      <c r="K124" s="253" t="s">
        <v>635</v>
      </c>
      <c r="M124" s="243"/>
      <c r="N124" s="243" t="s">
        <v>349</v>
      </c>
      <c r="O124" s="243" t="s">
        <v>613</v>
      </c>
      <c r="P124" s="243" t="s">
        <v>16</v>
      </c>
      <c r="Q124" s="245">
        <v>2008</v>
      </c>
      <c r="R124" s="243" t="s">
        <v>350</v>
      </c>
      <c r="S124" s="243" t="s">
        <v>351</v>
      </c>
      <c r="T124" s="245">
        <v>46.431983411730805</v>
      </c>
      <c r="U124" s="245" t="s">
        <v>698</v>
      </c>
      <c r="V124" s="46" t="s">
        <v>732</v>
      </c>
      <c r="W124" s="25" t="s">
        <v>684</v>
      </c>
      <c r="X124" s="235" t="s">
        <v>940</v>
      </c>
      <c r="Y124" s="91" t="s">
        <v>802</v>
      </c>
      <c r="Z124" s="88"/>
      <c r="AA124" s="88"/>
      <c r="AB124" s="92"/>
      <c r="AC124" s="252" t="str">
        <f t="shared" ref="AC124:AC131" si="28">E124</f>
        <v>7991611</v>
      </c>
      <c r="AD124" s="252"/>
      <c r="AE124" s="93"/>
      <c r="AF124" s="252" t="s">
        <v>811</v>
      </c>
      <c r="AG124" s="331">
        <v>4.2510121457489884E-2</v>
      </c>
      <c r="AH124" s="332">
        <v>17329814</v>
      </c>
      <c r="AI124" s="180">
        <v>7439976</v>
      </c>
      <c r="AL124" s="328" t="s">
        <v>1043</v>
      </c>
      <c r="AM124" s="192">
        <f t="shared" ref="AM124:AM131" si="29">LEN(AL124)</f>
        <v>231</v>
      </c>
      <c r="AN124" s="18">
        <v>10</v>
      </c>
      <c r="AO124" s="328" t="s">
        <v>635</v>
      </c>
    </row>
    <row r="125" spans="1:42" s="18" customFormat="1" ht="24.95" customHeight="1">
      <c r="A125" s="243" t="s">
        <v>76</v>
      </c>
      <c r="B125" s="243" t="s">
        <v>68</v>
      </c>
      <c r="C125" s="243" t="s">
        <v>470</v>
      </c>
      <c r="D125" s="245" t="s">
        <v>525</v>
      </c>
      <c r="E125" s="243" t="s">
        <v>347</v>
      </c>
      <c r="F125" s="245" t="s">
        <v>583</v>
      </c>
      <c r="G125" s="243" t="s">
        <v>348</v>
      </c>
      <c r="H125" s="243" t="s">
        <v>15</v>
      </c>
      <c r="I125" s="246" t="s">
        <v>681</v>
      </c>
      <c r="J125" s="243"/>
      <c r="K125" s="253" t="s">
        <v>635</v>
      </c>
      <c r="M125" s="243"/>
      <c r="N125" s="243" t="s">
        <v>349</v>
      </c>
      <c r="O125" s="243" t="s">
        <v>613</v>
      </c>
      <c r="P125" s="243" t="s">
        <v>16</v>
      </c>
      <c r="Q125" s="245">
        <v>2008</v>
      </c>
      <c r="R125" s="243" t="s">
        <v>350</v>
      </c>
      <c r="S125" s="243" t="s">
        <v>351</v>
      </c>
      <c r="T125" s="245">
        <v>46.431983411730805</v>
      </c>
      <c r="U125" s="245" t="s">
        <v>698</v>
      </c>
      <c r="V125" s="46" t="s">
        <v>732</v>
      </c>
      <c r="W125" s="25" t="s">
        <v>684</v>
      </c>
      <c r="X125" s="235" t="s">
        <v>940</v>
      </c>
      <c r="Y125" s="91" t="s">
        <v>802</v>
      </c>
      <c r="Z125" s="88"/>
      <c r="AA125" s="88"/>
      <c r="AB125" s="92"/>
      <c r="AC125" s="252" t="str">
        <f t="shared" si="28"/>
        <v>7991611</v>
      </c>
      <c r="AD125" s="252"/>
      <c r="AE125" s="93"/>
      <c r="AF125" s="252" t="s">
        <v>811</v>
      </c>
      <c r="AG125" s="331">
        <v>0.5668016194331984</v>
      </c>
      <c r="AH125" s="332">
        <v>17330114</v>
      </c>
      <c r="AI125" s="180">
        <v>7439976</v>
      </c>
      <c r="AL125" s="328" t="s">
        <v>1043</v>
      </c>
      <c r="AM125" s="192">
        <f t="shared" si="29"/>
        <v>231</v>
      </c>
      <c r="AN125" s="18">
        <v>10</v>
      </c>
      <c r="AO125" s="328" t="s">
        <v>635</v>
      </c>
    </row>
    <row r="126" spans="1:42" s="18" customFormat="1" ht="24.95" customHeight="1">
      <c r="A126" s="243" t="s">
        <v>76</v>
      </c>
      <c r="B126" s="243" t="s">
        <v>68</v>
      </c>
      <c r="C126" s="243" t="s">
        <v>470</v>
      </c>
      <c r="D126" s="245" t="s">
        <v>525</v>
      </c>
      <c r="E126" s="243" t="s">
        <v>347</v>
      </c>
      <c r="F126" s="245" t="s">
        <v>583</v>
      </c>
      <c r="G126" s="243" t="s">
        <v>348</v>
      </c>
      <c r="H126" s="243" t="s">
        <v>15</v>
      </c>
      <c r="I126" s="246" t="s">
        <v>681</v>
      </c>
      <c r="J126" s="243"/>
      <c r="K126" s="253" t="s">
        <v>635</v>
      </c>
      <c r="M126" s="243"/>
      <c r="N126" s="243" t="s">
        <v>349</v>
      </c>
      <c r="O126" s="243" t="s">
        <v>613</v>
      </c>
      <c r="P126" s="243" t="s">
        <v>16</v>
      </c>
      <c r="Q126" s="245">
        <v>2008</v>
      </c>
      <c r="R126" s="243" t="s">
        <v>350</v>
      </c>
      <c r="S126" s="243" t="s">
        <v>351</v>
      </c>
      <c r="T126" s="245">
        <v>46.431983411730805</v>
      </c>
      <c r="U126" s="245" t="s">
        <v>698</v>
      </c>
      <c r="V126" s="46" t="s">
        <v>732</v>
      </c>
      <c r="W126" s="25" t="s">
        <v>684</v>
      </c>
      <c r="X126" s="235" t="s">
        <v>940</v>
      </c>
      <c r="Y126" s="91" t="s">
        <v>802</v>
      </c>
      <c r="Z126" s="88"/>
      <c r="AA126" s="88"/>
      <c r="AB126" s="92"/>
      <c r="AC126" s="252" t="str">
        <f t="shared" si="28"/>
        <v>7991611</v>
      </c>
      <c r="AD126" s="252"/>
      <c r="AE126" s="93"/>
      <c r="AF126" s="252" t="s">
        <v>811</v>
      </c>
      <c r="AG126" s="331">
        <v>0.30364372469635631</v>
      </c>
      <c r="AH126" s="332">
        <v>17330214</v>
      </c>
      <c r="AI126" s="180">
        <v>7439976</v>
      </c>
      <c r="AL126" s="328" t="s">
        <v>1043</v>
      </c>
      <c r="AM126" s="192">
        <f t="shared" si="29"/>
        <v>231</v>
      </c>
      <c r="AN126" s="18">
        <v>10</v>
      </c>
      <c r="AO126" s="328" t="s">
        <v>635</v>
      </c>
    </row>
    <row r="127" spans="1:42" s="18" customFormat="1" ht="24.95" customHeight="1">
      <c r="A127" s="243" t="s">
        <v>76</v>
      </c>
      <c r="B127" s="243" t="s">
        <v>68</v>
      </c>
      <c r="C127" s="243" t="s">
        <v>470</v>
      </c>
      <c r="D127" s="245" t="s">
        <v>525</v>
      </c>
      <c r="E127" s="243" t="s">
        <v>347</v>
      </c>
      <c r="F127" s="245" t="s">
        <v>583</v>
      </c>
      <c r="G127" s="243" t="s">
        <v>348</v>
      </c>
      <c r="H127" s="243" t="s">
        <v>15</v>
      </c>
      <c r="I127" s="246" t="s">
        <v>681</v>
      </c>
      <c r="J127" s="243"/>
      <c r="K127" s="253" t="s">
        <v>635</v>
      </c>
      <c r="M127" s="243"/>
      <c r="N127" s="243" t="s">
        <v>349</v>
      </c>
      <c r="O127" s="243" t="s">
        <v>613</v>
      </c>
      <c r="P127" s="243" t="s">
        <v>16</v>
      </c>
      <c r="Q127" s="245">
        <v>2008</v>
      </c>
      <c r="R127" s="243" t="s">
        <v>350</v>
      </c>
      <c r="S127" s="243" t="s">
        <v>351</v>
      </c>
      <c r="T127" s="245">
        <v>46.431983411730805</v>
      </c>
      <c r="U127" s="245" t="s">
        <v>698</v>
      </c>
      <c r="V127" s="46" t="s">
        <v>732</v>
      </c>
      <c r="W127" s="25" t="s">
        <v>684</v>
      </c>
      <c r="X127" s="235" t="s">
        <v>940</v>
      </c>
      <c r="Y127" s="91" t="s">
        <v>802</v>
      </c>
      <c r="Z127" s="88"/>
      <c r="AA127" s="88"/>
      <c r="AB127" s="92"/>
      <c r="AC127" s="252" t="str">
        <f t="shared" si="28"/>
        <v>7991611</v>
      </c>
      <c r="AD127" s="252"/>
      <c r="AE127" s="93"/>
      <c r="AF127" s="252" t="s">
        <v>811</v>
      </c>
      <c r="AG127" s="331">
        <v>1.0121457489878543E-2</v>
      </c>
      <c r="AH127" s="332">
        <v>17330314</v>
      </c>
      <c r="AI127" s="180">
        <v>7439976</v>
      </c>
      <c r="AL127" s="328" t="s">
        <v>1043</v>
      </c>
      <c r="AM127" s="192">
        <f t="shared" si="29"/>
        <v>231</v>
      </c>
      <c r="AN127" s="18">
        <v>10</v>
      </c>
      <c r="AO127" s="328" t="s">
        <v>635</v>
      </c>
    </row>
    <row r="128" spans="1:42" s="18" customFormat="1" ht="24.95" customHeight="1">
      <c r="A128" s="243" t="s">
        <v>76</v>
      </c>
      <c r="B128" s="243" t="s">
        <v>68</v>
      </c>
      <c r="C128" s="243" t="s">
        <v>470</v>
      </c>
      <c r="D128" s="245" t="s">
        <v>525</v>
      </c>
      <c r="E128" s="243" t="s">
        <v>347</v>
      </c>
      <c r="F128" s="245" t="s">
        <v>583</v>
      </c>
      <c r="G128" s="243" t="s">
        <v>348</v>
      </c>
      <c r="H128" s="243" t="s">
        <v>15</v>
      </c>
      <c r="I128" s="246" t="s">
        <v>681</v>
      </c>
      <c r="J128" s="243"/>
      <c r="K128" s="253" t="s">
        <v>635</v>
      </c>
      <c r="M128" s="243"/>
      <c r="N128" s="243" t="s">
        <v>349</v>
      </c>
      <c r="O128" s="243" t="s">
        <v>613</v>
      </c>
      <c r="P128" s="243" t="s">
        <v>16</v>
      </c>
      <c r="Q128" s="245">
        <v>2008</v>
      </c>
      <c r="R128" s="243" t="s">
        <v>350</v>
      </c>
      <c r="S128" s="243" t="s">
        <v>351</v>
      </c>
      <c r="T128" s="245">
        <v>46.431983411730805</v>
      </c>
      <c r="U128" s="245" t="s">
        <v>698</v>
      </c>
      <c r="V128" s="46" t="s">
        <v>732</v>
      </c>
      <c r="W128" s="25" t="s">
        <v>684</v>
      </c>
      <c r="X128" s="235" t="s">
        <v>940</v>
      </c>
      <c r="Y128" s="91" t="s">
        <v>802</v>
      </c>
      <c r="Z128" s="88"/>
      <c r="AA128" s="88"/>
      <c r="AB128" s="92"/>
      <c r="AC128" s="252" t="str">
        <f t="shared" si="28"/>
        <v>7991611</v>
      </c>
      <c r="AD128" s="252"/>
      <c r="AE128" s="93"/>
      <c r="AF128" s="252" t="s">
        <v>811</v>
      </c>
      <c r="AG128" s="331">
        <v>1.8218623481781378E-2</v>
      </c>
      <c r="AH128" s="332">
        <v>17330414</v>
      </c>
      <c r="AI128" s="180">
        <v>7439976</v>
      </c>
      <c r="AL128" s="328" t="s">
        <v>1043</v>
      </c>
      <c r="AM128" s="192">
        <f t="shared" si="29"/>
        <v>231</v>
      </c>
      <c r="AN128" s="18">
        <v>10</v>
      </c>
      <c r="AO128" s="328" t="s">
        <v>635</v>
      </c>
    </row>
    <row r="129" spans="1:41" s="18" customFormat="1" ht="24.95" customHeight="1">
      <c r="A129" s="243" t="s">
        <v>76</v>
      </c>
      <c r="B129" s="243" t="s">
        <v>68</v>
      </c>
      <c r="C129" s="243" t="s">
        <v>470</v>
      </c>
      <c r="D129" s="245" t="s">
        <v>525</v>
      </c>
      <c r="E129" s="243" t="s">
        <v>347</v>
      </c>
      <c r="F129" s="245" t="s">
        <v>583</v>
      </c>
      <c r="G129" s="243" t="s">
        <v>348</v>
      </c>
      <c r="H129" s="243" t="s">
        <v>15</v>
      </c>
      <c r="I129" s="246" t="s">
        <v>681</v>
      </c>
      <c r="J129" s="243"/>
      <c r="K129" s="253" t="s">
        <v>635</v>
      </c>
      <c r="M129" s="243"/>
      <c r="N129" s="243" t="s">
        <v>349</v>
      </c>
      <c r="O129" s="243" t="s">
        <v>613</v>
      </c>
      <c r="P129" s="243" t="s">
        <v>16</v>
      </c>
      <c r="Q129" s="245">
        <v>2008</v>
      </c>
      <c r="R129" s="243" t="s">
        <v>350</v>
      </c>
      <c r="S129" s="243" t="s">
        <v>351</v>
      </c>
      <c r="T129" s="245">
        <v>46.431983411730805</v>
      </c>
      <c r="U129" s="245" t="s">
        <v>698</v>
      </c>
      <c r="V129" s="46" t="s">
        <v>732</v>
      </c>
      <c r="W129" s="25" t="s">
        <v>684</v>
      </c>
      <c r="X129" s="235" t="s">
        <v>940</v>
      </c>
      <c r="Y129" s="91" t="s">
        <v>802</v>
      </c>
      <c r="Z129" s="88"/>
      <c r="AA129" s="88"/>
      <c r="AB129" s="92"/>
      <c r="AC129" s="252" t="str">
        <f t="shared" si="28"/>
        <v>7991611</v>
      </c>
      <c r="AD129" s="252"/>
      <c r="AE129" s="93"/>
      <c r="AF129" s="252" t="s">
        <v>811</v>
      </c>
      <c r="AG129" s="331">
        <v>3.036437246963563E-2</v>
      </c>
      <c r="AH129" s="332">
        <v>17330614</v>
      </c>
      <c r="AI129" s="180">
        <v>7439976</v>
      </c>
      <c r="AL129" s="328" t="s">
        <v>1043</v>
      </c>
      <c r="AM129" s="192">
        <f t="shared" si="29"/>
        <v>231</v>
      </c>
      <c r="AN129" s="18">
        <v>10</v>
      </c>
      <c r="AO129" s="328" t="s">
        <v>635</v>
      </c>
    </row>
    <row r="130" spans="1:41" s="18" customFormat="1" ht="24.95" customHeight="1">
      <c r="A130" s="243" t="s">
        <v>76</v>
      </c>
      <c r="B130" s="243" t="s">
        <v>68</v>
      </c>
      <c r="C130" s="243" t="s">
        <v>470</v>
      </c>
      <c r="D130" s="245" t="s">
        <v>525</v>
      </c>
      <c r="E130" s="243" t="s">
        <v>347</v>
      </c>
      <c r="F130" s="245" t="s">
        <v>583</v>
      </c>
      <c r="G130" s="243" t="s">
        <v>348</v>
      </c>
      <c r="H130" s="243" t="s">
        <v>15</v>
      </c>
      <c r="I130" s="246" t="s">
        <v>681</v>
      </c>
      <c r="J130" s="243"/>
      <c r="K130" s="253" t="s">
        <v>635</v>
      </c>
      <c r="M130" s="243"/>
      <c r="N130" s="243" t="s">
        <v>349</v>
      </c>
      <c r="O130" s="243" t="s">
        <v>613</v>
      </c>
      <c r="P130" s="243" t="s">
        <v>16</v>
      </c>
      <c r="Q130" s="245">
        <v>2008</v>
      </c>
      <c r="R130" s="243" t="s">
        <v>350</v>
      </c>
      <c r="S130" s="243" t="s">
        <v>351</v>
      </c>
      <c r="T130" s="245">
        <v>46.431983411730805</v>
      </c>
      <c r="U130" s="245" t="s">
        <v>698</v>
      </c>
      <c r="V130" s="46" t="s">
        <v>732</v>
      </c>
      <c r="W130" s="25" t="s">
        <v>684</v>
      </c>
      <c r="X130" s="235" t="s">
        <v>940</v>
      </c>
      <c r="Y130" s="91" t="s">
        <v>802</v>
      </c>
      <c r="Z130" s="88"/>
      <c r="AA130" s="88"/>
      <c r="AB130" s="92"/>
      <c r="AC130" s="252" t="str">
        <f t="shared" si="28"/>
        <v>7991611</v>
      </c>
      <c r="AD130" s="252"/>
      <c r="AE130" s="93"/>
      <c r="AF130" s="252" t="s">
        <v>811</v>
      </c>
      <c r="AG130" s="331">
        <v>1.0121457489878543E-2</v>
      </c>
      <c r="AH130" s="332">
        <v>17330714</v>
      </c>
      <c r="AI130" s="180">
        <v>7439976</v>
      </c>
      <c r="AL130" s="328" t="s">
        <v>1043</v>
      </c>
      <c r="AM130" s="192">
        <f t="shared" si="29"/>
        <v>231</v>
      </c>
      <c r="AN130" s="18">
        <v>10</v>
      </c>
      <c r="AO130" s="328" t="s">
        <v>635</v>
      </c>
    </row>
    <row r="131" spans="1:41" s="18" customFormat="1" ht="24.95" customHeight="1">
      <c r="A131" s="243" t="s">
        <v>76</v>
      </c>
      <c r="B131" s="243" t="s">
        <v>68</v>
      </c>
      <c r="C131" s="243" t="s">
        <v>470</v>
      </c>
      <c r="D131" s="245" t="s">
        <v>525</v>
      </c>
      <c r="E131" s="243" t="s">
        <v>347</v>
      </c>
      <c r="F131" s="245" t="s">
        <v>583</v>
      </c>
      <c r="G131" s="243" t="s">
        <v>348</v>
      </c>
      <c r="H131" s="243" t="s">
        <v>15</v>
      </c>
      <c r="I131" s="246" t="s">
        <v>681</v>
      </c>
      <c r="J131" s="243"/>
      <c r="K131" s="253" t="s">
        <v>635</v>
      </c>
      <c r="M131" s="243"/>
      <c r="N131" s="243" t="s">
        <v>349</v>
      </c>
      <c r="O131" s="243" t="s">
        <v>613</v>
      </c>
      <c r="P131" s="243" t="s">
        <v>16</v>
      </c>
      <c r="Q131" s="245">
        <v>2008</v>
      </c>
      <c r="R131" s="243" t="s">
        <v>350</v>
      </c>
      <c r="S131" s="243" t="s">
        <v>351</v>
      </c>
      <c r="T131" s="245">
        <v>46.431983411730805</v>
      </c>
      <c r="U131" s="245" t="s">
        <v>698</v>
      </c>
      <c r="V131" s="46" t="s">
        <v>732</v>
      </c>
      <c r="W131" s="25" t="s">
        <v>684</v>
      </c>
      <c r="X131" s="235" t="s">
        <v>940</v>
      </c>
      <c r="Y131" s="91" t="s">
        <v>802</v>
      </c>
      <c r="Z131" s="88"/>
      <c r="AA131" s="88"/>
      <c r="AB131" s="92"/>
      <c r="AC131" s="252" t="str">
        <f t="shared" si="28"/>
        <v>7991611</v>
      </c>
      <c r="AD131" s="252"/>
      <c r="AE131" s="93"/>
      <c r="AF131" s="252" t="s">
        <v>811</v>
      </c>
      <c r="AG131" s="331">
        <v>1.8218623481781378E-2</v>
      </c>
      <c r="AH131" s="332">
        <v>17330814</v>
      </c>
      <c r="AI131" s="180">
        <v>7439976</v>
      </c>
      <c r="AL131" s="328" t="s">
        <v>1043</v>
      </c>
      <c r="AM131" s="192">
        <f t="shared" si="29"/>
        <v>231</v>
      </c>
      <c r="AN131" s="18">
        <v>10</v>
      </c>
      <c r="AO131" s="328" t="s">
        <v>635</v>
      </c>
    </row>
    <row r="132" spans="1:41" s="18" customFormat="1" ht="24.95" customHeight="1">
      <c r="A132" s="3" t="s">
        <v>357</v>
      </c>
      <c r="B132" s="3" t="s">
        <v>316</v>
      </c>
      <c r="C132" s="3" t="s">
        <v>661</v>
      </c>
      <c r="D132" s="5" t="s">
        <v>585</v>
      </c>
      <c r="E132" s="3" t="s">
        <v>352</v>
      </c>
      <c r="F132" s="5" t="s">
        <v>584</v>
      </c>
      <c r="G132" s="3" t="s">
        <v>353</v>
      </c>
      <c r="H132" s="3" t="s">
        <v>15</v>
      </c>
      <c r="I132" s="11" t="s">
        <v>681</v>
      </c>
      <c r="J132" s="5">
        <v>140</v>
      </c>
      <c r="K132" s="35" t="s">
        <v>32</v>
      </c>
      <c r="L132" s="3"/>
      <c r="M132" s="5">
        <v>62.057110000000002</v>
      </c>
      <c r="N132" s="3" t="s">
        <v>354</v>
      </c>
      <c r="O132" s="3" t="s">
        <v>354</v>
      </c>
      <c r="P132" s="3" t="s">
        <v>16</v>
      </c>
      <c r="Q132" s="5">
        <v>2008</v>
      </c>
      <c r="R132" s="3" t="s">
        <v>355</v>
      </c>
      <c r="S132" s="3" t="s">
        <v>356</v>
      </c>
      <c r="T132" s="5" t="s">
        <v>8</v>
      </c>
      <c r="U132" s="5"/>
      <c r="V132" s="6" t="s">
        <v>736</v>
      </c>
      <c r="W132" s="40" t="s">
        <v>721</v>
      </c>
      <c r="X132" s="249" t="s">
        <v>942</v>
      </c>
      <c r="Y132" s="218" t="s">
        <v>943</v>
      </c>
      <c r="Z132" s="3"/>
      <c r="AA132" s="3"/>
      <c r="AB132" s="4"/>
      <c r="AC132" s="119" t="str">
        <f t="shared" si="21"/>
        <v>7994811</v>
      </c>
      <c r="AD132" s="160"/>
      <c r="AE132" s="26"/>
      <c r="AF132" s="252" t="s">
        <v>810</v>
      </c>
      <c r="AG132" s="26">
        <v>0</v>
      </c>
      <c r="AI132" s="180">
        <v>7439976</v>
      </c>
      <c r="AK132" s="78">
        <v>40814</v>
      </c>
      <c r="AL132" s="81" t="s">
        <v>795</v>
      </c>
      <c r="AM132" s="192">
        <f t="shared" si="16"/>
        <v>21</v>
      </c>
      <c r="AN132" s="81"/>
    </row>
    <row r="133" spans="1:41" s="18" customFormat="1" ht="24.95" customHeight="1">
      <c r="A133" s="3" t="s">
        <v>76</v>
      </c>
      <c r="B133" s="3" t="s">
        <v>68</v>
      </c>
      <c r="C133" s="3" t="s">
        <v>470</v>
      </c>
      <c r="D133" s="5" t="s">
        <v>525</v>
      </c>
      <c r="E133" s="3" t="s">
        <v>358</v>
      </c>
      <c r="F133" s="5" t="s">
        <v>586</v>
      </c>
      <c r="G133" s="3" t="s">
        <v>359</v>
      </c>
      <c r="H133" s="3" t="s">
        <v>15</v>
      </c>
      <c r="I133" s="11" t="s">
        <v>681</v>
      </c>
      <c r="J133" s="5">
        <v>34.210989999999995</v>
      </c>
      <c r="K133" s="35" t="s">
        <v>56</v>
      </c>
      <c r="L133" s="3"/>
      <c r="M133" s="3"/>
      <c r="N133" s="3" t="s">
        <v>360</v>
      </c>
      <c r="O133" s="3" t="s">
        <v>613</v>
      </c>
      <c r="P133" s="3" t="s">
        <v>16</v>
      </c>
      <c r="Q133" s="5">
        <v>2008</v>
      </c>
      <c r="R133" s="3" t="s">
        <v>361</v>
      </c>
      <c r="S133" s="3" t="s">
        <v>362</v>
      </c>
      <c r="T133" s="5" t="s">
        <v>8</v>
      </c>
      <c r="U133" s="5"/>
      <c r="V133" s="15" t="s">
        <v>761</v>
      </c>
      <c r="W133" s="58" t="s">
        <v>760</v>
      </c>
      <c r="X133" s="86" t="s">
        <v>792</v>
      </c>
      <c r="Y133" s="91" t="s">
        <v>802</v>
      </c>
      <c r="Z133" s="88"/>
      <c r="AA133" s="88"/>
      <c r="AB133" s="92"/>
      <c r="AC133" s="119" t="str">
        <f t="shared" si="21"/>
        <v>8005811</v>
      </c>
      <c r="AD133" s="160"/>
      <c r="AE133" s="93"/>
      <c r="AF133" s="93" t="s">
        <v>810</v>
      </c>
      <c r="AG133" s="26">
        <v>0</v>
      </c>
      <c r="AI133" s="180">
        <v>7439976</v>
      </c>
      <c r="AM133" s="192">
        <f t="shared" si="16"/>
        <v>0</v>
      </c>
      <c r="AO133" s="249" t="s">
        <v>941</v>
      </c>
    </row>
    <row r="134" spans="1:41" s="18" customFormat="1" ht="24.95" customHeight="1">
      <c r="A134" s="3" t="s">
        <v>369</v>
      </c>
      <c r="B134" s="3" t="s">
        <v>272</v>
      </c>
      <c r="C134" s="3" t="s">
        <v>469</v>
      </c>
      <c r="D134" s="5" t="s">
        <v>576</v>
      </c>
      <c r="E134" s="10" t="s">
        <v>364</v>
      </c>
      <c r="F134" s="5" t="s">
        <v>587</v>
      </c>
      <c r="G134" s="3" t="s">
        <v>365</v>
      </c>
      <c r="H134" s="3" t="s">
        <v>15</v>
      </c>
      <c r="I134" s="11" t="s">
        <v>681</v>
      </c>
      <c r="J134" s="5">
        <v>228.07326599999999</v>
      </c>
      <c r="K134" s="35" t="s">
        <v>56</v>
      </c>
      <c r="L134" s="23">
        <v>12.297879999999997</v>
      </c>
      <c r="M134" s="23">
        <v>0.24000000000000002</v>
      </c>
      <c r="N134" s="243" t="s">
        <v>366</v>
      </c>
      <c r="O134" s="3" t="s">
        <v>613</v>
      </c>
      <c r="P134" s="3" t="s">
        <v>16</v>
      </c>
      <c r="Q134" s="5">
        <v>1997</v>
      </c>
      <c r="R134" s="3" t="s">
        <v>367</v>
      </c>
      <c r="S134" s="3" t="s">
        <v>368</v>
      </c>
      <c r="T134" s="5">
        <v>50</v>
      </c>
      <c r="U134" s="5" t="s">
        <v>699</v>
      </c>
      <c r="V134" s="38" t="s">
        <v>737</v>
      </c>
      <c r="W134" s="8" t="s">
        <v>637</v>
      </c>
      <c r="X134" s="257" t="s">
        <v>949</v>
      </c>
      <c r="Y134" s="256" t="s">
        <v>635</v>
      </c>
      <c r="Z134" s="3">
        <f>ROUND(0.000195628216954061*(397000),2)</f>
        <v>77.66</v>
      </c>
      <c r="AA134" s="3">
        <f>AG134*Z134</f>
        <v>0</v>
      </c>
      <c r="AB134" s="4"/>
      <c r="AC134" s="119" t="str">
        <f t="shared" si="21"/>
        <v>8050311</v>
      </c>
      <c r="AD134" s="252" t="s">
        <v>910</v>
      </c>
      <c r="AE134" s="252" t="s">
        <v>635</v>
      </c>
      <c r="AF134" s="252" t="s">
        <v>810</v>
      </c>
      <c r="AG134" s="252">
        <v>0</v>
      </c>
      <c r="AH134" s="317">
        <v>117761414</v>
      </c>
      <c r="AI134" s="180">
        <v>7439976</v>
      </c>
      <c r="AJ134" s="257" t="s">
        <v>950</v>
      </c>
      <c r="AK134" s="78">
        <v>40840</v>
      </c>
      <c r="AL134" s="333" t="s">
        <v>635</v>
      </c>
      <c r="AM134" s="192">
        <f t="shared" si="16"/>
        <v>1</v>
      </c>
      <c r="AN134" s="328" t="s">
        <v>635</v>
      </c>
    </row>
    <row r="135" spans="1:41" s="18" customFormat="1" ht="24.95" customHeight="1">
      <c r="A135" s="243" t="s">
        <v>369</v>
      </c>
      <c r="B135" s="243" t="s">
        <v>272</v>
      </c>
      <c r="C135" s="243" t="s">
        <v>469</v>
      </c>
      <c r="D135" s="245" t="s">
        <v>576</v>
      </c>
      <c r="E135" s="205" t="s">
        <v>364</v>
      </c>
      <c r="F135" s="245" t="s">
        <v>587</v>
      </c>
      <c r="G135" s="243" t="s">
        <v>365</v>
      </c>
      <c r="H135" s="243" t="s">
        <v>15</v>
      </c>
      <c r="I135" s="246" t="s">
        <v>681</v>
      </c>
      <c r="J135" s="245">
        <v>228.07326599999999</v>
      </c>
      <c r="K135" s="253" t="s">
        <v>56</v>
      </c>
      <c r="L135" s="250">
        <v>12.297879999999997</v>
      </c>
      <c r="M135" s="250">
        <v>0.24000000000000002</v>
      </c>
      <c r="N135" s="243" t="s">
        <v>366</v>
      </c>
      <c r="O135" s="243" t="s">
        <v>613</v>
      </c>
      <c r="P135" s="243" t="s">
        <v>16</v>
      </c>
      <c r="Q135" s="245">
        <v>1997</v>
      </c>
      <c r="R135" s="243" t="s">
        <v>367</v>
      </c>
      <c r="S135" s="243" t="s">
        <v>368</v>
      </c>
      <c r="T135" s="245">
        <v>50</v>
      </c>
      <c r="U135" s="245" t="s">
        <v>699</v>
      </c>
      <c r="V135" s="38" t="s">
        <v>737</v>
      </c>
      <c r="W135" s="8" t="s">
        <v>637</v>
      </c>
      <c r="X135" s="257" t="s">
        <v>949</v>
      </c>
      <c r="Y135" s="256" t="s">
        <v>635</v>
      </c>
      <c r="Z135" s="243">
        <f>ROUND(0.000195628216954061*(397000),2)</f>
        <v>77.66</v>
      </c>
      <c r="AA135" s="243">
        <f>AG135*Z135</f>
        <v>0</v>
      </c>
      <c r="AB135" s="244"/>
      <c r="AC135" s="252" t="str">
        <f>E135</f>
        <v>8050311</v>
      </c>
      <c r="AD135" s="252" t="s">
        <v>910</v>
      </c>
      <c r="AE135" s="252" t="s">
        <v>635</v>
      </c>
      <c r="AF135" s="252" t="s">
        <v>810</v>
      </c>
      <c r="AG135" s="252">
        <v>0</v>
      </c>
      <c r="AH135" s="317">
        <v>117761514</v>
      </c>
      <c r="AI135" s="180">
        <v>7439976</v>
      </c>
      <c r="AJ135" s="257" t="s">
        <v>950</v>
      </c>
      <c r="AK135" s="78">
        <v>40840</v>
      </c>
      <c r="AL135" s="333" t="s">
        <v>635</v>
      </c>
      <c r="AM135" s="192">
        <f t="shared" si="16"/>
        <v>1</v>
      </c>
      <c r="AN135" s="328" t="s">
        <v>635</v>
      </c>
    </row>
    <row r="136" spans="1:41" s="18" customFormat="1" ht="24.95" customHeight="1">
      <c r="A136" s="243" t="s">
        <v>369</v>
      </c>
      <c r="B136" s="243" t="s">
        <v>272</v>
      </c>
      <c r="C136" s="243" t="s">
        <v>469</v>
      </c>
      <c r="D136" s="245" t="s">
        <v>576</v>
      </c>
      <c r="E136" s="205" t="s">
        <v>364</v>
      </c>
      <c r="F136" s="245" t="s">
        <v>587</v>
      </c>
      <c r="G136" s="243" t="s">
        <v>365</v>
      </c>
      <c r="H136" s="243" t="s">
        <v>15</v>
      </c>
      <c r="I136" s="246" t="s">
        <v>681</v>
      </c>
      <c r="J136" s="245">
        <v>228.07326599999999</v>
      </c>
      <c r="K136" s="253" t="s">
        <v>56</v>
      </c>
      <c r="L136" s="250">
        <v>12.297879999999997</v>
      </c>
      <c r="M136" s="250">
        <v>0.24000000000000002</v>
      </c>
      <c r="N136" s="243" t="s">
        <v>366</v>
      </c>
      <c r="O136" s="243" t="s">
        <v>613</v>
      </c>
      <c r="P136" s="243" t="s">
        <v>16</v>
      </c>
      <c r="Q136" s="245">
        <v>1997</v>
      </c>
      <c r="R136" s="243" t="s">
        <v>367</v>
      </c>
      <c r="S136" s="243" t="s">
        <v>368</v>
      </c>
      <c r="T136" s="245">
        <v>50</v>
      </c>
      <c r="U136" s="245" t="s">
        <v>699</v>
      </c>
      <c r="V136" s="38" t="s">
        <v>737</v>
      </c>
      <c r="W136" s="8" t="s">
        <v>637</v>
      </c>
      <c r="X136" s="257" t="s">
        <v>949</v>
      </c>
      <c r="Y136" s="256" t="s">
        <v>635</v>
      </c>
      <c r="Z136" s="243">
        <f>ROUND(0.000195628216954061*(397000),2)</f>
        <v>77.66</v>
      </c>
      <c r="AA136" s="243">
        <f>AG136*Z136</f>
        <v>32.625206185567016</v>
      </c>
      <c r="AB136" s="244"/>
      <c r="AC136" s="252" t="str">
        <f t="shared" ref="AC136" si="30">E136</f>
        <v>8050311</v>
      </c>
      <c r="AD136" s="252" t="s">
        <v>910</v>
      </c>
      <c r="AE136" s="252" t="s">
        <v>635</v>
      </c>
      <c r="AF136" s="252" t="s">
        <v>811</v>
      </c>
      <c r="AG136" s="334">
        <v>0.42010309278350522</v>
      </c>
      <c r="AH136" s="317">
        <v>117761414</v>
      </c>
      <c r="AI136" s="180">
        <v>7439976</v>
      </c>
      <c r="AJ136" s="257" t="s">
        <v>950</v>
      </c>
      <c r="AK136" s="78">
        <v>40840</v>
      </c>
      <c r="AL136" s="330" t="s">
        <v>1043</v>
      </c>
      <c r="AM136" s="192">
        <f t="shared" ref="AM136:AM137" si="31">LEN(AL136)</f>
        <v>231</v>
      </c>
      <c r="AN136" s="18">
        <v>10</v>
      </c>
    </row>
    <row r="137" spans="1:41" s="18" customFormat="1" ht="24.95" customHeight="1">
      <c r="A137" s="243" t="s">
        <v>369</v>
      </c>
      <c r="B137" s="243" t="s">
        <v>272</v>
      </c>
      <c r="C137" s="243" t="s">
        <v>469</v>
      </c>
      <c r="D137" s="245" t="s">
        <v>576</v>
      </c>
      <c r="E137" s="205" t="s">
        <v>364</v>
      </c>
      <c r="F137" s="245" t="s">
        <v>587</v>
      </c>
      <c r="G137" s="243" t="s">
        <v>365</v>
      </c>
      <c r="H137" s="243" t="s">
        <v>15</v>
      </c>
      <c r="I137" s="246" t="s">
        <v>681</v>
      </c>
      <c r="J137" s="245">
        <v>228.07326599999999</v>
      </c>
      <c r="K137" s="253" t="s">
        <v>56</v>
      </c>
      <c r="L137" s="250">
        <v>12.297879999999997</v>
      </c>
      <c r="M137" s="250">
        <v>0.24000000000000002</v>
      </c>
      <c r="N137" s="243" t="s">
        <v>366</v>
      </c>
      <c r="O137" s="243" t="s">
        <v>613</v>
      </c>
      <c r="P137" s="243" t="s">
        <v>16</v>
      </c>
      <c r="Q137" s="245">
        <v>1997</v>
      </c>
      <c r="R137" s="243" t="s">
        <v>367</v>
      </c>
      <c r="S137" s="243" t="s">
        <v>368</v>
      </c>
      <c r="T137" s="245">
        <v>50</v>
      </c>
      <c r="U137" s="245" t="s">
        <v>699</v>
      </c>
      <c r="V137" s="38" t="s">
        <v>737</v>
      </c>
      <c r="W137" s="8" t="s">
        <v>637</v>
      </c>
      <c r="X137" s="257" t="s">
        <v>949</v>
      </c>
      <c r="Y137" s="256" t="s">
        <v>635</v>
      </c>
      <c r="Z137" s="243">
        <f>ROUND(0.000195628216954061*(397000),2)</f>
        <v>77.66</v>
      </c>
      <c r="AA137" s="243">
        <f>AG137*Z137</f>
        <v>45.034793814432994</v>
      </c>
      <c r="AB137" s="244"/>
      <c r="AC137" s="252" t="str">
        <f>E137</f>
        <v>8050311</v>
      </c>
      <c r="AD137" s="252" t="s">
        <v>910</v>
      </c>
      <c r="AE137" s="252" t="s">
        <v>635</v>
      </c>
      <c r="AF137" s="252" t="s">
        <v>811</v>
      </c>
      <c r="AG137" s="334">
        <v>0.57989690721649489</v>
      </c>
      <c r="AH137" s="317">
        <v>117761514</v>
      </c>
      <c r="AI137" s="180">
        <v>7439976</v>
      </c>
      <c r="AJ137" s="257" t="s">
        <v>950</v>
      </c>
      <c r="AK137" s="78">
        <v>40840</v>
      </c>
      <c r="AL137" s="330" t="s">
        <v>1043</v>
      </c>
      <c r="AM137" s="192">
        <f t="shared" si="31"/>
        <v>231</v>
      </c>
      <c r="AN137" s="18">
        <v>10</v>
      </c>
    </row>
    <row r="138" spans="1:41" s="18" customFormat="1" ht="24.95" customHeight="1">
      <c r="A138" s="3" t="s">
        <v>374</v>
      </c>
      <c r="B138" s="3" t="s">
        <v>373</v>
      </c>
      <c r="C138" s="3" t="s">
        <v>482</v>
      </c>
      <c r="D138" s="5" t="s">
        <v>589</v>
      </c>
      <c r="E138" s="10" t="s">
        <v>504</v>
      </c>
      <c r="F138" s="5" t="s">
        <v>588</v>
      </c>
      <c r="G138" s="3" t="s">
        <v>370</v>
      </c>
      <c r="H138" s="3" t="s">
        <v>15</v>
      </c>
      <c r="I138" s="11" t="s">
        <v>681</v>
      </c>
      <c r="J138" s="5">
        <v>236.21874</v>
      </c>
      <c r="K138" s="35" t="s">
        <v>56</v>
      </c>
      <c r="L138" s="5">
        <v>2.3910000000000001E-2</v>
      </c>
      <c r="M138" s="23">
        <v>59.02</v>
      </c>
      <c r="N138" s="3" t="s">
        <v>371</v>
      </c>
      <c r="O138" s="3" t="s">
        <v>613</v>
      </c>
      <c r="P138" s="3" t="s">
        <v>16</v>
      </c>
      <c r="Q138" s="5">
        <v>2009</v>
      </c>
      <c r="R138" s="3" t="s">
        <v>372</v>
      </c>
      <c r="S138" s="3" t="s">
        <v>100</v>
      </c>
      <c r="T138" s="5" t="s">
        <v>8</v>
      </c>
      <c r="U138" s="5"/>
      <c r="V138" s="64" t="s">
        <v>779</v>
      </c>
      <c r="W138" s="6" t="s">
        <v>721</v>
      </c>
      <c r="X138" s="97" t="s">
        <v>819</v>
      </c>
      <c r="Y138" s="98" t="s">
        <v>820</v>
      </c>
      <c r="Z138" s="99"/>
      <c r="AA138" s="100" t="s">
        <v>821</v>
      </c>
      <c r="AB138" s="101" t="s">
        <v>822</v>
      </c>
      <c r="AC138" s="119" t="str">
        <f t="shared" si="21"/>
        <v>8125711</v>
      </c>
      <c r="AD138" s="160"/>
      <c r="AE138" s="115"/>
      <c r="AF138" s="160" t="s">
        <v>808</v>
      </c>
      <c r="AG138" s="26">
        <f>59/59.02</f>
        <v>0.99966113181972205</v>
      </c>
      <c r="AH138" s="319">
        <v>28371714</v>
      </c>
      <c r="AI138" s="180">
        <v>7439976</v>
      </c>
      <c r="AJ138" s="169" t="s">
        <v>823</v>
      </c>
      <c r="AK138" s="78">
        <v>40826</v>
      </c>
      <c r="AL138" s="315" t="s">
        <v>1010</v>
      </c>
      <c r="AM138" s="192">
        <f t="shared" si="16"/>
        <v>66</v>
      </c>
      <c r="AN138" s="18">
        <v>2</v>
      </c>
    </row>
    <row r="139" spans="1:41" s="18" customFormat="1" ht="24.95" customHeight="1">
      <c r="A139" s="3" t="s">
        <v>374</v>
      </c>
      <c r="B139" s="3" t="s">
        <v>373</v>
      </c>
      <c r="C139" s="3" t="s">
        <v>482</v>
      </c>
      <c r="D139" s="5" t="s">
        <v>589</v>
      </c>
      <c r="E139" s="10" t="s">
        <v>504</v>
      </c>
      <c r="F139" s="5" t="s">
        <v>588</v>
      </c>
      <c r="G139" s="3" t="s">
        <v>370</v>
      </c>
      <c r="H139" s="3" t="s">
        <v>15</v>
      </c>
      <c r="I139" s="11" t="s">
        <v>681</v>
      </c>
      <c r="J139" s="5">
        <v>236.21874</v>
      </c>
      <c r="K139" s="35" t="s">
        <v>56</v>
      </c>
      <c r="L139" s="5">
        <v>2.3910000000000001E-2</v>
      </c>
      <c r="M139" s="23">
        <v>59.02</v>
      </c>
      <c r="N139" s="3" t="s">
        <v>371</v>
      </c>
      <c r="O139" s="3" t="s">
        <v>613</v>
      </c>
      <c r="P139" s="3" t="s">
        <v>16</v>
      </c>
      <c r="Q139" s="5">
        <v>2009</v>
      </c>
      <c r="R139" s="3" t="s">
        <v>372</v>
      </c>
      <c r="S139" s="3" t="s">
        <v>100</v>
      </c>
      <c r="T139" s="5" t="s">
        <v>8</v>
      </c>
      <c r="U139" s="5"/>
      <c r="V139" s="64" t="s">
        <v>779</v>
      </c>
      <c r="W139" s="6" t="s">
        <v>721</v>
      </c>
      <c r="X139" s="97" t="s">
        <v>819</v>
      </c>
      <c r="Y139" s="98" t="s">
        <v>820</v>
      </c>
      <c r="Z139" s="99"/>
      <c r="AA139" s="100" t="s">
        <v>821</v>
      </c>
      <c r="AB139" s="101" t="s">
        <v>822</v>
      </c>
      <c r="AC139" s="119" t="str">
        <f t="shared" si="21"/>
        <v>8125711</v>
      </c>
      <c r="AD139" s="160"/>
      <c r="AE139" s="115"/>
      <c r="AF139" s="26" t="s">
        <v>808</v>
      </c>
      <c r="AG139" s="26">
        <f>0.02/59.02</f>
        <v>3.3886818027787188E-4</v>
      </c>
      <c r="AH139" s="319">
        <v>28371914</v>
      </c>
      <c r="AI139" s="180">
        <v>7439976</v>
      </c>
      <c r="AJ139" s="102" t="s">
        <v>823</v>
      </c>
      <c r="AK139" s="78">
        <v>40826</v>
      </c>
      <c r="AL139" s="315" t="s">
        <v>1010</v>
      </c>
      <c r="AM139" s="192">
        <f t="shared" si="16"/>
        <v>66</v>
      </c>
      <c r="AN139" s="18">
        <v>2</v>
      </c>
    </row>
    <row r="140" spans="1:41" s="18" customFormat="1" ht="24.95" customHeight="1">
      <c r="A140" s="3" t="s">
        <v>326</v>
      </c>
      <c r="B140" s="3" t="s">
        <v>68</v>
      </c>
      <c r="C140" s="3" t="s">
        <v>663</v>
      </c>
      <c r="D140" s="5" t="s">
        <v>523</v>
      </c>
      <c r="E140" s="3" t="s">
        <v>375</v>
      </c>
      <c r="F140" s="5" t="s">
        <v>590</v>
      </c>
      <c r="G140" s="3" t="s">
        <v>8</v>
      </c>
      <c r="H140" s="3" t="s">
        <v>15</v>
      </c>
      <c r="I140" s="11" t="s">
        <v>681</v>
      </c>
      <c r="J140" s="5">
        <v>130.32758000000001</v>
      </c>
      <c r="K140" s="35" t="s">
        <v>56</v>
      </c>
      <c r="M140" s="17"/>
      <c r="N140" s="3" t="s">
        <v>376</v>
      </c>
      <c r="O140" s="3" t="s">
        <v>630</v>
      </c>
      <c r="P140" s="3" t="s">
        <v>16</v>
      </c>
      <c r="Q140" s="5">
        <v>2008</v>
      </c>
      <c r="R140" s="3" t="s">
        <v>377</v>
      </c>
      <c r="S140" s="3" t="s">
        <v>325</v>
      </c>
      <c r="T140" s="5" t="s">
        <v>8</v>
      </c>
      <c r="U140" s="5"/>
      <c r="V140" s="15" t="s">
        <v>762</v>
      </c>
      <c r="W140" s="58" t="s">
        <v>760</v>
      </c>
      <c r="X140" s="84"/>
      <c r="Y140" s="195" t="s">
        <v>635</v>
      </c>
      <c r="Z140" s="3"/>
      <c r="AA140" s="3"/>
      <c r="AB140" s="4"/>
      <c r="AC140" s="119" t="str">
        <f t="shared" si="21"/>
        <v>8141411</v>
      </c>
      <c r="AD140" s="160"/>
      <c r="AE140" s="26">
        <f>ROUND(285902*0.000248,2)</f>
        <v>70.900000000000006</v>
      </c>
      <c r="AF140" s="252" t="s">
        <v>966</v>
      </c>
      <c r="AG140" s="18">
        <v>1</v>
      </c>
      <c r="AH140" s="317">
        <v>93014014</v>
      </c>
      <c r="AI140" s="180">
        <v>7439976</v>
      </c>
      <c r="AL140" s="282" t="s">
        <v>982</v>
      </c>
      <c r="AM140" s="192">
        <f t="shared" si="16"/>
        <v>143</v>
      </c>
      <c r="AN140" s="18">
        <v>13</v>
      </c>
    </row>
    <row r="141" spans="1:41" s="18" customFormat="1" ht="24.95" customHeight="1">
      <c r="A141" s="3" t="s">
        <v>383</v>
      </c>
      <c r="B141" s="3" t="s">
        <v>93</v>
      </c>
      <c r="C141" s="3" t="s">
        <v>655</v>
      </c>
      <c r="D141" s="5" t="s">
        <v>530</v>
      </c>
      <c r="E141" s="3" t="s">
        <v>378</v>
      </c>
      <c r="F141" s="5" t="s">
        <v>591</v>
      </c>
      <c r="G141" s="3" t="s">
        <v>379</v>
      </c>
      <c r="H141" s="3" t="s">
        <v>15</v>
      </c>
      <c r="I141" s="11" t="s">
        <v>681</v>
      </c>
      <c r="J141" s="5">
        <v>162.90947599999998</v>
      </c>
      <c r="K141" s="35" t="s">
        <v>56</v>
      </c>
      <c r="L141" s="3"/>
      <c r="M141" s="3"/>
      <c r="N141" s="3" t="s">
        <v>380</v>
      </c>
      <c r="O141" s="3" t="s">
        <v>613</v>
      </c>
      <c r="P141" s="3" t="s">
        <v>16</v>
      </c>
      <c r="Q141" s="5">
        <v>2008</v>
      </c>
      <c r="R141" s="3" t="s">
        <v>381</v>
      </c>
      <c r="S141" s="3" t="s">
        <v>382</v>
      </c>
      <c r="T141" s="5" t="s">
        <v>8</v>
      </c>
      <c r="U141" s="5"/>
      <c r="V141" s="15" t="s">
        <v>765</v>
      </c>
      <c r="W141" s="58" t="s">
        <v>760</v>
      </c>
      <c r="X141" s="138" t="s">
        <v>782</v>
      </c>
      <c r="Y141" s="140" t="s">
        <v>865</v>
      </c>
      <c r="Z141" s="136" t="s">
        <v>866</v>
      </c>
      <c r="AA141" s="139" t="s">
        <v>867</v>
      </c>
      <c r="AB141" s="137" t="s">
        <v>863</v>
      </c>
      <c r="AC141" s="119" t="str">
        <f t="shared" si="21"/>
        <v>8187311</v>
      </c>
      <c r="AD141" s="160"/>
      <c r="AE141" s="26">
        <v>40</v>
      </c>
      <c r="AF141" s="252" t="s">
        <v>966</v>
      </c>
      <c r="AG141" s="143">
        <v>1</v>
      </c>
      <c r="AH141" s="317">
        <v>90547314</v>
      </c>
      <c r="AI141" s="180">
        <v>7439976</v>
      </c>
      <c r="AK141" s="78">
        <v>40829</v>
      </c>
      <c r="AL141" s="316" t="s">
        <v>1015</v>
      </c>
      <c r="AM141" s="192">
        <f t="shared" si="16"/>
        <v>88</v>
      </c>
      <c r="AN141" s="18">
        <v>9</v>
      </c>
    </row>
    <row r="142" spans="1:41" s="18" customFormat="1" ht="24.95" customHeight="1">
      <c r="A142" s="3" t="s">
        <v>389</v>
      </c>
      <c r="B142" s="3" t="s">
        <v>272</v>
      </c>
      <c r="C142" s="3" t="s">
        <v>474</v>
      </c>
      <c r="D142" s="5" t="s">
        <v>576</v>
      </c>
      <c r="E142" s="3" t="s">
        <v>384</v>
      </c>
      <c r="F142" s="5" t="s">
        <v>592</v>
      </c>
      <c r="G142" s="3" t="s">
        <v>385</v>
      </c>
      <c r="H142" s="3" t="s">
        <v>15</v>
      </c>
      <c r="I142" s="11" t="s">
        <v>681</v>
      </c>
      <c r="J142" s="3"/>
      <c r="K142" s="35" t="s">
        <v>635</v>
      </c>
      <c r="M142" s="5">
        <v>100</v>
      </c>
      <c r="N142" s="243" t="s">
        <v>386</v>
      </c>
      <c r="O142" s="3" t="s">
        <v>631</v>
      </c>
      <c r="P142" s="3" t="s">
        <v>16</v>
      </c>
      <c r="Q142" s="5">
        <v>1994</v>
      </c>
      <c r="R142" s="3" t="s">
        <v>387</v>
      </c>
      <c r="S142" s="3" t="s">
        <v>388</v>
      </c>
      <c r="T142" s="5" t="s">
        <v>8</v>
      </c>
      <c r="U142" s="5"/>
      <c r="V142" s="13" t="s">
        <v>738</v>
      </c>
      <c r="W142" s="37" t="s">
        <v>721</v>
      </c>
      <c r="X142" s="257" t="s">
        <v>952</v>
      </c>
      <c r="Y142" s="90" t="s">
        <v>635</v>
      </c>
      <c r="Z142" s="3"/>
      <c r="AA142" s="3"/>
      <c r="AB142" s="4"/>
      <c r="AC142" s="119" t="str">
        <f t="shared" si="21"/>
        <v>8190711</v>
      </c>
      <c r="AD142" s="160"/>
      <c r="AE142" s="26"/>
      <c r="AF142" s="252" t="s">
        <v>808</v>
      </c>
      <c r="AG142" s="26">
        <f>ROUND(AJ142/(0.08+28.26+4.37),4)</f>
        <v>2.3999999999999998E-3</v>
      </c>
      <c r="AH142" s="94" t="s">
        <v>1064</v>
      </c>
      <c r="AI142" s="180">
        <v>7439976</v>
      </c>
      <c r="AJ142" s="18">
        <v>0.08</v>
      </c>
      <c r="AL142" s="315" t="s">
        <v>1011</v>
      </c>
      <c r="AM142" s="192">
        <f t="shared" si="16"/>
        <v>87</v>
      </c>
      <c r="AN142" s="18">
        <v>2</v>
      </c>
    </row>
    <row r="143" spans="1:41" s="18" customFormat="1" ht="24.95" customHeight="1">
      <c r="A143" s="243" t="s">
        <v>389</v>
      </c>
      <c r="B143" s="243" t="s">
        <v>272</v>
      </c>
      <c r="C143" s="243" t="s">
        <v>474</v>
      </c>
      <c r="D143" s="245" t="s">
        <v>576</v>
      </c>
      <c r="E143" s="243" t="s">
        <v>384</v>
      </c>
      <c r="F143" s="245" t="s">
        <v>592</v>
      </c>
      <c r="G143" s="243" t="s">
        <v>385</v>
      </c>
      <c r="H143" s="243" t="s">
        <v>15</v>
      </c>
      <c r="I143" s="246" t="s">
        <v>681</v>
      </c>
      <c r="J143" s="243"/>
      <c r="K143" s="253" t="s">
        <v>635</v>
      </c>
      <c r="M143" s="245">
        <v>100</v>
      </c>
      <c r="N143" s="243" t="s">
        <v>386</v>
      </c>
      <c r="O143" s="243" t="s">
        <v>631</v>
      </c>
      <c r="P143" s="243" t="s">
        <v>16</v>
      </c>
      <c r="Q143" s="245">
        <v>1994</v>
      </c>
      <c r="R143" s="243" t="s">
        <v>387</v>
      </c>
      <c r="S143" s="243" t="s">
        <v>388</v>
      </c>
      <c r="T143" s="245" t="s">
        <v>8</v>
      </c>
      <c r="U143" s="245"/>
      <c r="V143" s="13" t="s">
        <v>738</v>
      </c>
      <c r="W143" s="37" t="s">
        <v>721</v>
      </c>
      <c r="X143" s="257" t="s">
        <v>952</v>
      </c>
      <c r="Y143" s="90" t="s">
        <v>635</v>
      </c>
      <c r="Z143" s="243"/>
      <c r="AA143" s="243"/>
      <c r="AB143" s="244"/>
      <c r="AC143" s="252" t="str">
        <f>E143</f>
        <v>8190711</v>
      </c>
      <c r="AD143" s="252"/>
      <c r="AE143" s="252"/>
      <c r="AF143" s="252" t="s">
        <v>808</v>
      </c>
      <c r="AG143" s="252">
        <f>ROUND(AJ143/(0.08+28.26+4.37),4)</f>
        <v>0.86399999999999999</v>
      </c>
      <c r="AH143" s="94" t="s">
        <v>1065</v>
      </c>
      <c r="AI143" s="180">
        <v>7439976</v>
      </c>
      <c r="AJ143" s="18">
        <v>28.26</v>
      </c>
      <c r="AL143" s="315" t="s">
        <v>1011</v>
      </c>
      <c r="AM143" s="192">
        <f t="shared" si="16"/>
        <v>87</v>
      </c>
      <c r="AN143" s="18">
        <v>2</v>
      </c>
    </row>
    <row r="144" spans="1:41" s="18" customFormat="1" ht="24.95" customHeight="1">
      <c r="A144" s="243" t="s">
        <v>389</v>
      </c>
      <c r="B144" s="243" t="s">
        <v>272</v>
      </c>
      <c r="C144" s="243" t="s">
        <v>474</v>
      </c>
      <c r="D144" s="245" t="s">
        <v>576</v>
      </c>
      <c r="E144" s="243" t="s">
        <v>384</v>
      </c>
      <c r="F144" s="245" t="s">
        <v>592</v>
      </c>
      <c r="G144" s="243" t="s">
        <v>385</v>
      </c>
      <c r="H144" s="243" t="s">
        <v>15</v>
      </c>
      <c r="I144" s="246" t="s">
        <v>681</v>
      </c>
      <c r="J144" s="243"/>
      <c r="K144" s="253" t="s">
        <v>635</v>
      </c>
      <c r="M144" s="245">
        <v>100</v>
      </c>
      <c r="N144" s="243" t="s">
        <v>386</v>
      </c>
      <c r="O144" s="243" t="s">
        <v>631</v>
      </c>
      <c r="P144" s="243" t="s">
        <v>16</v>
      </c>
      <c r="Q144" s="245">
        <v>1994</v>
      </c>
      <c r="R144" s="243" t="s">
        <v>387</v>
      </c>
      <c r="S144" s="243" t="s">
        <v>388</v>
      </c>
      <c r="T144" s="245" t="s">
        <v>8</v>
      </c>
      <c r="U144" s="245"/>
      <c r="V144" s="13" t="s">
        <v>738</v>
      </c>
      <c r="W144" s="37" t="s">
        <v>721</v>
      </c>
      <c r="X144" s="257" t="s">
        <v>952</v>
      </c>
      <c r="Y144" s="90" t="s">
        <v>635</v>
      </c>
      <c r="Z144" s="243"/>
      <c r="AA144" s="243"/>
      <c r="AB144" s="244"/>
      <c r="AC144" s="252" t="str">
        <f>E144</f>
        <v>8190711</v>
      </c>
      <c r="AD144" s="252"/>
      <c r="AE144" s="252"/>
      <c r="AF144" s="252" t="s">
        <v>808</v>
      </c>
      <c r="AG144" s="252">
        <f>ROUND(AJ144/(0.08+28.26+4.37),4)</f>
        <v>0.1336</v>
      </c>
      <c r="AH144" s="94" t="s">
        <v>953</v>
      </c>
      <c r="AI144" s="180">
        <v>7439976</v>
      </c>
      <c r="AJ144" s="18">
        <v>4.37</v>
      </c>
      <c r="AL144" s="315" t="s">
        <v>1013</v>
      </c>
      <c r="AM144" s="192">
        <f t="shared" si="16"/>
        <v>88</v>
      </c>
      <c r="AN144" s="18">
        <v>2</v>
      </c>
    </row>
    <row r="145" spans="1:41" s="18" customFormat="1" ht="24.95" customHeight="1">
      <c r="A145" s="3" t="s">
        <v>395</v>
      </c>
      <c r="B145" s="3" t="s">
        <v>93</v>
      </c>
      <c r="C145" s="3" t="s">
        <v>498</v>
      </c>
      <c r="D145" s="5" t="s">
        <v>530</v>
      </c>
      <c r="E145" s="3" t="s">
        <v>390</v>
      </c>
      <c r="F145" s="5" t="s">
        <v>593</v>
      </c>
      <c r="G145" s="3" t="s">
        <v>391</v>
      </c>
      <c r="H145" s="3" t="s">
        <v>15</v>
      </c>
      <c r="I145" s="11" t="s">
        <v>681</v>
      </c>
      <c r="J145" s="5">
        <v>260.65516000000002</v>
      </c>
      <c r="K145" s="35" t="s">
        <v>56</v>
      </c>
      <c r="L145" s="3"/>
      <c r="M145" s="3"/>
      <c r="N145" s="3" t="s">
        <v>392</v>
      </c>
      <c r="O145" s="3" t="s">
        <v>613</v>
      </c>
      <c r="P145" s="3" t="s">
        <v>16</v>
      </c>
      <c r="Q145" s="5">
        <v>2008</v>
      </c>
      <c r="R145" s="3" t="s">
        <v>393</v>
      </c>
      <c r="S145" s="3" t="s">
        <v>394</v>
      </c>
      <c r="T145" s="5">
        <v>113.31353869602641</v>
      </c>
      <c r="U145" s="5" t="s">
        <v>700</v>
      </c>
      <c r="V145" s="39" t="s">
        <v>739</v>
      </c>
      <c r="W145" s="18" t="s">
        <v>684</v>
      </c>
      <c r="X145" s="147" t="s">
        <v>868</v>
      </c>
      <c r="Y145" s="183" t="s">
        <v>896</v>
      </c>
      <c r="Z145" s="150" t="s">
        <v>871</v>
      </c>
      <c r="AA145" s="152" t="s">
        <v>869</v>
      </c>
      <c r="AB145" s="151" t="s">
        <v>863</v>
      </c>
      <c r="AC145" s="119" t="str">
        <f t="shared" si="21"/>
        <v>8199711</v>
      </c>
      <c r="AD145" s="160"/>
      <c r="AE145" s="26">
        <v>114</v>
      </c>
      <c r="AF145" s="252" t="s">
        <v>966</v>
      </c>
      <c r="AG145" s="26">
        <v>1</v>
      </c>
      <c r="AH145" s="317">
        <v>90500814</v>
      </c>
      <c r="AI145" s="180">
        <v>7439976</v>
      </c>
      <c r="AK145" s="78">
        <v>40829</v>
      </c>
      <c r="AL145" s="316" t="s">
        <v>1015</v>
      </c>
      <c r="AM145" s="192">
        <f t="shared" si="16"/>
        <v>88</v>
      </c>
      <c r="AN145" s="18">
        <v>9</v>
      </c>
    </row>
    <row r="146" spans="1:41" s="18" customFormat="1" ht="24.95" customHeight="1">
      <c r="A146" s="243" t="s">
        <v>395</v>
      </c>
      <c r="B146" s="243" t="s">
        <v>93</v>
      </c>
      <c r="C146" s="243" t="s">
        <v>498</v>
      </c>
      <c r="D146" s="245" t="s">
        <v>530</v>
      </c>
      <c r="E146" s="243" t="s">
        <v>390</v>
      </c>
      <c r="F146" s="245" t="s">
        <v>593</v>
      </c>
      <c r="G146" s="243" t="s">
        <v>391</v>
      </c>
      <c r="H146" s="243" t="s">
        <v>15</v>
      </c>
      <c r="I146" s="246" t="s">
        <v>681</v>
      </c>
      <c r="J146" s="245">
        <v>260.65516000000002</v>
      </c>
      <c r="K146" s="253" t="s">
        <v>56</v>
      </c>
      <c r="L146" s="243"/>
      <c r="M146" s="243"/>
      <c r="N146" s="243" t="s">
        <v>392</v>
      </c>
      <c r="O146" s="243" t="s">
        <v>613</v>
      </c>
      <c r="P146" s="243" t="s">
        <v>16</v>
      </c>
      <c r="Q146" s="245">
        <v>2008</v>
      </c>
      <c r="R146" s="243" t="s">
        <v>393</v>
      </c>
      <c r="S146" s="243" t="s">
        <v>394</v>
      </c>
      <c r="T146" s="245">
        <v>113.31353869602641</v>
      </c>
      <c r="U146" s="245" t="s">
        <v>700</v>
      </c>
      <c r="V146" s="39" t="s">
        <v>739</v>
      </c>
      <c r="W146" s="18" t="s">
        <v>684</v>
      </c>
      <c r="X146" s="168" t="s">
        <v>868</v>
      </c>
      <c r="Y146" s="183" t="s">
        <v>896</v>
      </c>
      <c r="Z146" s="245" t="s">
        <v>635</v>
      </c>
      <c r="AA146" s="165" t="s">
        <v>869</v>
      </c>
      <c r="AB146" s="164" t="s">
        <v>863</v>
      </c>
      <c r="AC146" s="252" t="str">
        <f t="shared" ref="AC146" si="32">E146</f>
        <v>8199711</v>
      </c>
      <c r="AD146" s="252"/>
      <c r="AE146" s="252" t="s">
        <v>635</v>
      </c>
      <c r="AF146" s="252" t="s">
        <v>811</v>
      </c>
      <c r="AG146" s="252">
        <v>1</v>
      </c>
      <c r="AH146" s="317">
        <v>90500814</v>
      </c>
      <c r="AI146" s="180">
        <v>7439976</v>
      </c>
      <c r="AK146" s="78">
        <v>40862</v>
      </c>
      <c r="AL146" s="330" t="s">
        <v>894</v>
      </c>
      <c r="AM146" s="192">
        <f t="shared" ref="AM146" si="33">LEN(AL146)</f>
        <v>166</v>
      </c>
      <c r="AN146" s="18">
        <v>10</v>
      </c>
    </row>
    <row r="147" spans="1:41" s="18" customFormat="1" ht="24.95" customHeight="1">
      <c r="A147" s="3" t="s">
        <v>326</v>
      </c>
      <c r="B147" s="3" t="s">
        <v>68</v>
      </c>
      <c r="C147" s="3" t="s">
        <v>663</v>
      </c>
      <c r="D147" s="5" t="s">
        <v>523</v>
      </c>
      <c r="E147" s="3" t="s">
        <v>396</v>
      </c>
      <c r="F147" s="5" t="s">
        <v>594</v>
      </c>
      <c r="G147" s="3" t="s">
        <v>397</v>
      </c>
      <c r="H147" s="3" t="s">
        <v>15</v>
      </c>
      <c r="I147" s="11" t="s">
        <v>681</v>
      </c>
      <c r="J147" s="5">
        <v>179.21042199999999</v>
      </c>
      <c r="K147" s="35" t="s">
        <v>690</v>
      </c>
      <c r="L147" s="3"/>
      <c r="M147" s="23">
        <v>0.01</v>
      </c>
      <c r="N147" s="3" t="s">
        <v>398</v>
      </c>
      <c r="O147" s="3" t="s">
        <v>399</v>
      </c>
      <c r="P147" s="3" t="s">
        <v>16</v>
      </c>
      <c r="Q147" s="5">
        <v>2008</v>
      </c>
      <c r="R147" s="3" t="s">
        <v>400</v>
      </c>
      <c r="S147" s="3" t="s">
        <v>401</v>
      </c>
      <c r="T147" s="5" t="s">
        <v>8</v>
      </c>
      <c r="U147" s="5"/>
      <c r="V147" s="39" t="s">
        <v>741</v>
      </c>
      <c r="W147" s="37" t="s">
        <v>721</v>
      </c>
      <c r="X147" s="84"/>
      <c r="Y147" s="195" t="s">
        <v>635</v>
      </c>
      <c r="Z147" s="3"/>
      <c r="AA147" s="3"/>
      <c r="AB147" s="4"/>
      <c r="AC147" s="119" t="str">
        <f t="shared" si="21"/>
        <v>8221411</v>
      </c>
      <c r="AD147" s="160"/>
      <c r="AE147" s="160">
        <f>ROUND(328651*0.000248,2)</f>
        <v>81.510000000000005</v>
      </c>
      <c r="AF147" s="252" t="s">
        <v>966</v>
      </c>
      <c r="AG147" s="26">
        <v>1</v>
      </c>
      <c r="AH147" s="317">
        <v>93014814</v>
      </c>
      <c r="AI147" s="180">
        <v>7439976</v>
      </c>
      <c r="AL147" s="282" t="s">
        <v>983</v>
      </c>
      <c r="AM147" s="192">
        <f t="shared" si="16"/>
        <v>157</v>
      </c>
      <c r="AN147" s="18">
        <v>13</v>
      </c>
    </row>
    <row r="148" spans="1:41" s="18" customFormat="1" ht="24.95" customHeight="1">
      <c r="A148" s="3" t="s">
        <v>346</v>
      </c>
      <c r="B148" s="3" t="s">
        <v>54</v>
      </c>
      <c r="C148" s="3" t="s">
        <v>483</v>
      </c>
      <c r="D148" s="5" t="s">
        <v>519</v>
      </c>
      <c r="E148" s="3" t="s">
        <v>402</v>
      </c>
      <c r="F148" s="5" t="s">
        <v>595</v>
      </c>
      <c r="G148" s="3" t="s">
        <v>403</v>
      </c>
      <c r="H148" s="3" t="s">
        <v>8</v>
      </c>
      <c r="I148" s="11" t="s">
        <v>681</v>
      </c>
      <c r="J148" s="3"/>
      <c r="K148" s="35" t="s">
        <v>635</v>
      </c>
      <c r="L148" s="3"/>
      <c r="M148" s="3"/>
      <c r="N148" s="3" t="s">
        <v>404</v>
      </c>
      <c r="O148" s="3" t="s">
        <v>613</v>
      </c>
      <c r="P148" s="3" t="s">
        <v>16</v>
      </c>
      <c r="Q148" s="5">
        <v>2008</v>
      </c>
      <c r="R148" s="3" t="s">
        <v>405</v>
      </c>
      <c r="S148" s="3" t="s">
        <v>406</v>
      </c>
      <c r="T148" s="55" t="s">
        <v>8</v>
      </c>
      <c r="U148" s="5"/>
      <c r="V148" s="37" t="s">
        <v>740</v>
      </c>
      <c r="W148" s="47" t="s">
        <v>685</v>
      </c>
      <c r="X148" s="84"/>
      <c r="Y148" s="90" t="s">
        <v>803</v>
      </c>
      <c r="Z148" s="3">
        <v>28.82</v>
      </c>
      <c r="AA148" s="3"/>
      <c r="AB148" s="4"/>
      <c r="AC148" s="119" t="str">
        <f t="shared" si="21"/>
        <v>8221911</v>
      </c>
      <c r="AD148" s="160"/>
      <c r="AE148" s="26"/>
      <c r="AF148" s="26" t="s">
        <v>810</v>
      </c>
      <c r="AG148" s="74">
        <v>0</v>
      </c>
      <c r="AH148" s="324">
        <v>86147314</v>
      </c>
      <c r="AI148" s="180">
        <v>7439976</v>
      </c>
      <c r="AJ148" s="76" t="s">
        <v>790</v>
      </c>
      <c r="AK148" s="78">
        <v>40805</v>
      </c>
      <c r="AL148" s="95" t="s">
        <v>815</v>
      </c>
      <c r="AM148" s="192">
        <f t="shared" si="16"/>
        <v>27</v>
      </c>
      <c r="AN148" s="95"/>
    </row>
    <row r="149" spans="1:41" s="18" customFormat="1" ht="24.95" customHeight="1">
      <c r="A149" s="3" t="s">
        <v>411</v>
      </c>
      <c r="B149" s="3" t="s">
        <v>93</v>
      </c>
      <c r="C149" s="3" t="s">
        <v>493</v>
      </c>
      <c r="D149" s="5" t="s">
        <v>530</v>
      </c>
      <c r="E149" s="3" t="s">
        <v>407</v>
      </c>
      <c r="F149" s="5" t="s">
        <v>596</v>
      </c>
      <c r="G149" s="3" t="s">
        <v>408</v>
      </c>
      <c r="H149" s="3" t="s">
        <v>15</v>
      </c>
      <c r="I149" s="11" t="s">
        <v>681</v>
      </c>
      <c r="J149" s="5">
        <v>205.07951459999998</v>
      </c>
      <c r="K149" s="35" t="s">
        <v>32</v>
      </c>
      <c r="M149" s="5">
        <v>96</v>
      </c>
      <c r="N149" s="3" t="s">
        <v>259</v>
      </c>
      <c r="O149" s="3" t="s">
        <v>613</v>
      </c>
      <c r="P149" s="3" t="s">
        <v>16</v>
      </c>
      <c r="Q149" s="5">
        <v>2008</v>
      </c>
      <c r="R149" s="3" t="s">
        <v>409</v>
      </c>
      <c r="S149" s="53" t="s">
        <v>410</v>
      </c>
      <c r="T149" s="57">
        <v>194.06685244665334</v>
      </c>
      <c r="U149" s="54" t="s">
        <v>709</v>
      </c>
      <c r="V149" s="37" t="s">
        <v>742</v>
      </c>
      <c r="W149" s="50" t="s">
        <v>684</v>
      </c>
      <c r="X149" s="148" t="s">
        <v>870</v>
      </c>
      <c r="Y149" s="183" t="s">
        <v>897</v>
      </c>
      <c r="Z149" s="153" t="s">
        <v>872</v>
      </c>
      <c r="AA149" s="154" t="s">
        <v>873</v>
      </c>
      <c r="AB149" s="155" t="s">
        <v>874</v>
      </c>
      <c r="AC149" s="160" t="str">
        <f t="shared" ref="AC149:AC165" si="34">E149</f>
        <v>8224911</v>
      </c>
      <c r="AD149" s="160"/>
      <c r="AE149" s="160">
        <v>86</v>
      </c>
      <c r="AF149" s="252" t="s">
        <v>966</v>
      </c>
      <c r="AG149" s="26">
        <v>0.53449999999999998</v>
      </c>
      <c r="AH149" s="317">
        <v>123994214</v>
      </c>
      <c r="AI149" s="180">
        <v>7439976</v>
      </c>
      <c r="AK149" s="78">
        <v>40829</v>
      </c>
      <c r="AL149" s="316" t="s">
        <v>1015</v>
      </c>
      <c r="AM149" s="192">
        <f t="shared" si="16"/>
        <v>88</v>
      </c>
      <c r="AN149" s="18">
        <v>9</v>
      </c>
    </row>
    <row r="150" spans="1:41" s="18" customFormat="1" ht="24.95" customHeight="1">
      <c r="A150" s="156" t="s">
        <v>411</v>
      </c>
      <c r="B150" s="156" t="s">
        <v>93</v>
      </c>
      <c r="C150" s="156" t="s">
        <v>493</v>
      </c>
      <c r="D150" s="157" t="s">
        <v>530</v>
      </c>
      <c r="E150" s="156" t="s">
        <v>407</v>
      </c>
      <c r="F150" s="157" t="s">
        <v>596</v>
      </c>
      <c r="G150" s="156" t="s">
        <v>408</v>
      </c>
      <c r="H150" s="156" t="s">
        <v>15</v>
      </c>
      <c r="I150" s="158" t="s">
        <v>681</v>
      </c>
      <c r="J150" s="157">
        <v>205.07951459999998</v>
      </c>
      <c r="K150" s="161" t="s">
        <v>32</v>
      </c>
      <c r="M150" s="159">
        <v>96</v>
      </c>
      <c r="N150" s="175" t="s">
        <v>259</v>
      </c>
      <c r="O150" s="156" t="s">
        <v>613</v>
      </c>
      <c r="P150" s="156" t="s">
        <v>16</v>
      </c>
      <c r="Q150" s="157">
        <v>2008</v>
      </c>
      <c r="R150" s="156" t="s">
        <v>409</v>
      </c>
      <c r="S150" s="162" t="s">
        <v>410</v>
      </c>
      <c r="T150" s="57">
        <v>194.06685244665334</v>
      </c>
      <c r="U150" s="163" t="s">
        <v>709</v>
      </c>
      <c r="V150" s="37" t="s">
        <v>742</v>
      </c>
      <c r="W150" s="50" t="s">
        <v>684</v>
      </c>
      <c r="X150" s="168" t="s">
        <v>870</v>
      </c>
      <c r="Y150" s="183" t="s">
        <v>897</v>
      </c>
      <c r="Z150" s="129" t="s">
        <v>872</v>
      </c>
      <c r="AA150" s="166" t="s">
        <v>873</v>
      </c>
      <c r="AB150" s="167" t="s">
        <v>874</v>
      </c>
      <c r="AC150" s="160" t="s">
        <v>407</v>
      </c>
      <c r="AD150" s="160"/>
      <c r="AE150" s="160">
        <v>86</v>
      </c>
      <c r="AF150" s="252" t="s">
        <v>966</v>
      </c>
      <c r="AG150" s="160">
        <f>1-AG149</f>
        <v>0.46550000000000002</v>
      </c>
      <c r="AH150" s="317">
        <v>96732414</v>
      </c>
      <c r="AI150" s="180">
        <v>7439976</v>
      </c>
      <c r="AK150" s="78">
        <v>40829</v>
      </c>
      <c r="AL150" s="316" t="s">
        <v>1015</v>
      </c>
      <c r="AM150" s="192">
        <f t="shared" si="16"/>
        <v>88</v>
      </c>
      <c r="AN150" s="18">
        <v>9</v>
      </c>
    </row>
    <row r="151" spans="1:41" s="18" customFormat="1" ht="24.95" customHeight="1">
      <c r="A151" s="3" t="s">
        <v>417</v>
      </c>
      <c r="B151" s="3" t="s">
        <v>416</v>
      </c>
      <c r="C151" s="3" t="s">
        <v>664</v>
      </c>
      <c r="D151" s="5" t="s">
        <v>598</v>
      </c>
      <c r="E151" s="3" t="s">
        <v>412</v>
      </c>
      <c r="F151" s="5" t="s">
        <v>597</v>
      </c>
      <c r="G151" s="3" t="s">
        <v>413</v>
      </c>
      <c r="H151" s="3" t="s">
        <v>15</v>
      </c>
      <c r="I151" s="11" t="s">
        <v>681</v>
      </c>
      <c r="J151" s="5">
        <v>195.49136999999999</v>
      </c>
      <c r="K151" s="35" t="s">
        <v>56</v>
      </c>
      <c r="M151" s="17"/>
      <c r="N151" s="3" t="s">
        <v>414</v>
      </c>
      <c r="O151" s="3" t="s">
        <v>632</v>
      </c>
      <c r="P151" s="3" t="s">
        <v>16</v>
      </c>
      <c r="Q151" s="5">
        <v>2008</v>
      </c>
      <c r="R151" s="3" t="s">
        <v>414</v>
      </c>
      <c r="S151" s="3" t="s">
        <v>415</v>
      </c>
      <c r="T151" s="56" t="s">
        <v>8</v>
      </c>
      <c r="U151" s="5"/>
      <c r="V151" s="13" t="s">
        <v>763</v>
      </c>
      <c r="W151" s="58" t="s">
        <v>760</v>
      </c>
      <c r="X151" s="259" t="s">
        <v>782</v>
      </c>
      <c r="Y151" s="260" t="s">
        <v>957</v>
      </c>
      <c r="Z151" s="88">
        <v>128</v>
      </c>
      <c r="AA151" s="88">
        <v>10228</v>
      </c>
      <c r="AB151" s="92">
        <v>51644</v>
      </c>
      <c r="AC151" s="119" t="str">
        <f t="shared" si="34"/>
        <v>8234411</v>
      </c>
      <c r="AD151" s="252" t="s">
        <v>792</v>
      </c>
      <c r="AE151" s="26"/>
      <c r="AF151" s="252" t="s">
        <v>810</v>
      </c>
      <c r="AG151" s="26">
        <v>0</v>
      </c>
      <c r="AI151" s="180">
        <v>7439976</v>
      </c>
      <c r="AK151" s="78">
        <v>40840</v>
      </c>
      <c r="AM151" s="192">
        <f t="shared" si="16"/>
        <v>0</v>
      </c>
      <c r="AO151" s="257" t="s">
        <v>956</v>
      </c>
    </row>
    <row r="152" spans="1:41" s="18" customFormat="1" ht="24.95" customHeight="1">
      <c r="A152" s="3" t="s">
        <v>423</v>
      </c>
      <c r="B152" s="3" t="s">
        <v>68</v>
      </c>
      <c r="C152" s="3" t="s">
        <v>666</v>
      </c>
      <c r="D152" s="5" t="s">
        <v>523</v>
      </c>
      <c r="E152" s="10" t="s">
        <v>418</v>
      </c>
      <c r="F152" s="5" t="s">
        <v>599</v>
      </c>
      <c r="G152" s="3" t="s">
        <v>419</v>
      </c>
      <c r="H152" s="3" t="s">
        <v>15</v>
      </c>
      <c r="I152" s="11" t="s">
        <v>681</v>
      </c>
      <c r="J152" s="5">
        <v>147.81792816000001</v>
      </c>
      <c r="K152" s="35" t="s">
        <v>691</v>
      </c>
      <c r="M152" s="3"/>
      <c r="N152" s="3" t="s">
        <v>420</v>
      </c>
      <c r="O152" s="3" t="s">
        <v>633</v>
      </c>
      <c r="P152" s="3" t="s">
        <v>16</v>
      </c>
      <c r="Q152" s="5">
        <v>2008</v>
      </c>
      <c r="R152" s="3" t="s">
        <v>421</v>
      </c>
      <c r="S152" s="3" t="s">
        <v>422</v>
      </c>
      <c r="T152" s="5" t="s">
        <v>8</v>
      </c>
      <c r="U152" s="5"/>
      <c r="V152" s="14" t="s">
        <v>764</v>
      </c>
      <c r="W152" s="58" t="s">
        <v>760</v>
      </c>
      <c r="Y152" s="19"/>
      <c r="Z152" s="3"/>
      <c r="AA152" s="3"/>
      <c r="AB152" s="4"/>
      <c r="AC152" s="119" t="str">
        <f t="shared" si="34"/>
        <v>8234611</v>
      </c>
      <c r="AD152" s="160"/>
      <c r="AE152" s="160">
        <f>ROUND((7840+11773+13265+7889)*0.000248,2)</f>
        <v>10.11</v>
      </c>
      <c r="AF152" s="252" t="s">
        <v>966</v>
      </c>
      <c r="AG152" s="26">
        <v>0.1923</v>
      </c>
      <c r="AH152" s="242">
        <v>16690014</v>
      </c>
      <c r="AI152" s="180">
        <v>7439976</v>
      </c>
      <c r="AJ152" s="18">
        <v>13</v>
      </c>
      <c r="AL152" s="282" t="s">
        <v>983</v>
      </c>
      <c r="AM152" s="192">
        <f t="shared" si="16"/>
        <v>157</v>
      </c>
      <c r="AN152" s="18">
        <v>13</v>
      </c>
    </row>
    <row r="153" spans="1:41" s="18" customFormat="1" ht="24.95" customHeight="1">
      <c r="A153" s="243" t="s">
        <v>423</v>
      </c>
      <c r="B153" s="243" t="s">
        <v>68</v>
      </c>
      <c r="C153" s="243" t="s">
        <v>666</v>
      </c>
      <c r="D153" s="245" t="s">
        <v>523</v>
      </c>
      <c r="E153" s="205" t="s">
        <v>418</v>
      </c>
      <c r="F153" s="245" t="s">
        <v>599</v>
      </c>
      <c r="G153" s="243" t="s">
        <v>419</v>
      </c>
      <c r="H153" s="243" t="s">
        <v>15</v>
      </c>
      <c r="I153" s="246" t="s">
        <v>681</v>
      </c>
      <c r="J153" s="245">
        <v>147.81792816000001</v>
      </c>
      <c r="K153" s="253" t="s">
        <v>691</v>
      </c>
      <c r="M153" s="243"/>
      <c r="N153" s="243" t="s">
        <v>420</v>
      </c>
      <c r="O153" s="243" t="s">
        <v>633</v>
      </c>
      <c r="P153" s="243" t="s">
        <v>16</v>
      </c>
      <c r="Q153" s="245">
        <v>2008</v>
      </c>
      <c r="R153" s="243" t="s">
        <v>421</v>
      </c>
      <c r="S153" s="243" t="s">
        <v>422</v>
      </c>
      <c r="T153" s="245" t="s">
        <v>8</v>
      </c>
      <c r="U153" s="245"/>
      <c r="V153" s="14" t="s">
        <v>764</v>
      </c>
      <c r="W153" s="58" t="s">
        <v>760</v>
      </c>
      <c r="Y153" s="19"/>
      <c r="Z153" s="243"/>
      <c r="AA153" s="243"/>
      <c r="AB153" s="244"/>
      <c r="AC153" s="252" t="str">
        <f>E153</f>
        <v>8234611</v>
      </c>
      <c r="AD153" s="252"/>
      <c r="AE153" s="252">
        <f>ROUND((7840+11773+13265+7889)*0.000248,2)</f>
        <v>10.11</v>
      </c>
      <c r="AF153" s="252" t="s">
        <v>966</v>
      </c>
      <c r="AG153" s="252">
        <v>0.2888</v>
      </c>
      <c r="AH153" s="242">
        <v>16689914</v>
      </c>
      <c r="AI153" s="180">
        <v>7439976</v>
      </c>
      <c r="AJ153" s="18">
        <v>13</v>
      </c>
      <c r="AL153" s="282" t="s">
        <v>983</v>
      </c>
      <c r="AM153" s="192">
        <f t="shared" si="16"/>
        <v>157</v>
      </c>
      <c r="AN153" s="18">
        <v>13</v>
      </c>
    </row>
    <row r="154" spans="1:41" s="18" customFormat="1" ht="24.95" customHeight="1">
      <c r="A154" s="243" t="s">
        <v>423</v>
      </c>
      <c r="B154" s="243" t="s">
        <v>68</v>
      </c>
      <c r="C154" s="243" t="s">
        <v>666</v>
      </c>
      <c r="D154" s="245" t="s">
        <v>523</v>
      </c>
      <c r="E154" s="205" t="s">
        <v>418</v>
      </c>
      <c r="F154" s="245" t="s">
        <v>599</v>
      </c>
      <c r="G154" s="243" t="s">
        <v>419</v>
      </c>
      <c r="H154" s="243" t="s">
        <v>15</v>
      </c>
      <c r="I154" s="246" t="s">
        <v>681</v>
      </c>
      <c r="J154" s="245">
        <v>147.81792816000001</v>
      </c>
      <c r="K154" s="253" t="s">
        <v>691</v>
      </c>
      <c r="M154" s="243"/>
      <c r="N154" s="243" t="s">
        <v>420</v>
      </c>
      <c r="O154" s="243" t="s">
        <v>633</v>
      </c>
      <c r="P154" s="243" t="s">
        <v>16</v>
      </c>
      <c r="Q154" s="245">
        <v>2008</v>
      </c>
      <c r="R154" s="243" t="s">
        <v>421</v>
      </c>
      <c r="S154" s="243" t="s">
        <v>422</v>
      </c>
      <c r="T154" s="245" t="s">
        <v>8</v>
      </c>
      <c r="U154" s="245"/>
      <c r="V154" s="14" t="s">
        <v>764</v>
      </c>
      <c r="W154" s="58" t="s">
        <v>760</v>
      </c>
      <c r="Y154" s="19"/>
      <c r="Z154" s="243"/>
      <c r="AA154" s="243"/>
      <c r="AB154" s="244"/>
      <c r="AC154" s="252" t="str">
        <f>E154</f>
        <v>8234611</v>
      </c>
      <c r="AD154" s="252"/>
      <c r="AE154" s="252">
        <f>ROUND((7840+11773+13265+7889)*0.000248,2)</f>
        <v>10.11</v>
      </c>
      <c r="AF154" s="252" t="s">
        <v>966</v>
      </c>
      <c r="AG154" s="252">
        <v>0.32540000000000002</v>
      </c>
      <c r="AH154" s="242">
        <v>16688914</v>
      </c>
      <c r="AI154" s="180">
        <v>7439976</v>
      </c>
      <c r="AJ154" s="18">
        <v>13</v>
      </c>
      <c r="AL154" s="282" t="s">
        <v>983</v>
      </c>
      <c r="AM154" s="192">
        <f t="shared" si="16"/>
        <v>157</v>
      </c>
      <c r="AN154" s="18">
        <v>13</v>
      </c>
    </row>
    <row r="155" spans="1:41" s="18" customFormat="1" ht="24.95" customHeight="1">
      <c r="A155" s="243" t="s">
        <v>423</v>
      </c>
      <c r="B155" s="243" t="s">
        <v>68</v>
      </c>
      <c r="C155" s="243" t="s">
        <v>666</v>
      </c>
      <c r="D155" s="245" t="s">
        <v>523</v>
      </c>
      <c r="E155" s="205" t="s">
        <v>418</v>
      </c>
      <c r="F155" s="245" t="s">
        <v>599</v>
      </c>
      <c r="G155" s="243" t="s">
        <v>419</v>
      </c>
      <c r="H155" s="243" t="s">
        <v>15</v>
      </c>
      <c r="I155" s="246" t="s">
        <v>681</v>
      </c>
      <c r="J155" s="245">
        <v>147.81792816000001</v>
      </c>
      <c r="K155" s="253" t="s">
        <v>691</v>
      </c>
      <c r="M155" s="243"/>
      <c r="N155" s="243" t="s">
        <v>420</v>
      </c>
      <c r="O155" s="243" t="s">
        <v>633</v>
      </c>
      <c r="P155" s="243" t="s">
        <v>16</v>
      </c>
      <c r="Q155" s="245">
        <v>2008</v>
      </c>
      <c r="R155" s="243" t="s">
        <v>421</v>
      </c>
      <c r="S155" s="243" t="s">
        <v>422</v>
      </c>
      <c r="T155" s="245" t="s">
        <v>8</v>
      </c>
      <c r="U155" s="245"/>
      <c r="V155" s="14" t="s">
        <v>764</v>
      </c>
      <c r="W155" s="58" t="s">
        <v>760</v>
      </c>
      <c r="Y155" s="19"/>
      <c r="Z155" s="243"/>
      <c r="AA155" s="243"/>
      <c r="AB155" s="244"/>
      <c r="AC155" s="252" t="str">
        <f>E155</f>
        <v>8234611</v>
      </c>
      <c r="AD155" s="252"/>
      <c r="AE155" s="252">
        <f>ROUND((7840+11773+13265+7889)*0.000248,2)</f>
        <v>10.11</v>
      </c>
      <c r="AF155" s="252" t="s">
        <v>966</v>
      </c>
      <c r="AG155" s="252">
        <v>0.19350000000000001</v>
      </c>
      <c r="AH155" s="242">
        <v>16690514</v>
      </c>
      <c r="AI155" s="180">
        <v>7439976</v>
      </c>
      <c r="AJ155" s="18">
        <v>13</v>
      </c>
      <c r="AL155" s="282" t="s">
        <v>983</v>
      </c>
      <c r="AM155" s="192">
        <f t="shared" si="16"/>
        <v>157</v>
      </c>
      <c r="AN155" s="18">
        <v>13</v>
      </c>
    </row>
    <row r="156" spans="1:41" s="18" customFormat="1" ht="24.95" customHeight="1">
      <c r="A156" s="3" t="s">
        <v>435</v>
      </c>
      <c r="B156" s="3" t="s">
        <v>363</v>
      </c>
      <c r="C156" s="3" t="s">
        <v>492</v>
      </c>
      <c r="D156" s="23" t="s">
        <v>602</v>
      </c>
      <c r="E156" s="3" t="s">
        <v>431</v>
      </c>
      <c r="F156" s="23">
        <v>3709100099</v>
      </c>
      <c r="G156" s="3" t="s">
        <v>432</v>
      </c>
      <c r="H156" s="3" t="s">
        <v>15</v>
      </c>
      <c r="I156" s="11" t="s">
        <v>681</v>
      </c>
      <c r="J156" s="23">
        <v>385.31596999999999</v>
      </c>
      <c r="K156" s="35" t="s">
        <v>32</v>
      </c>
      <c r="L156">
        <v>139.2672</v>
      </c>
      <c r="M156" s="23">
        <v>139.28</v>
      </c>
      <c r="N156" s="3" t="s">
        <v>259</v>
      </c>
      <c r="O156" s="3" t="s">
        <v>613</v>
      </c>
      <c r="P156" s="3" t="s">
        <v>16</v>
      </c>
      <c r="Q156" s="5">
        <v>2008</v>
      </c>
      <c r="R156" s="3" t="s">
        <v>433</v>
      </c>
      <c r="S156" s="3" t="s">
        <v>434</v>
      </c>
      <c r="T156" s="5">
        <v>583.32735154255954</v>
      </c>
      <c r="U156" s="5" t="s">
        <v>710</v>
      </c>
      <c r="V156" s="64" t="s">
        <v>780</v>
      </c>
      <c r="W156" s="18" t="s">
        <v>684</v>
      </c>
      <c r="X156" s="178" t="s">
        <v>886</v>
      </c>
      <c r="Y156" s="183" t="s">
        <v>887</v>
      </c>
      <c r="Z156" s="177" t="s">
        <v>888</v>
      </c>
      <c r="AA156" s="175" t="s">
        <v>889</v>
      </c>
      <c r="AB156" s="176" t="s">
        <v>890</v>
      </c>
      <c r="AC156" s="119" t="str">
        <f t="shared" si="34"/>
        <v>8311911</v>
      </c>
      <c r="AD156" s="160"/>
      <c r="AE156" s="26"/>
      <c r="AF156" s="252" t="s">
        <v>810</v>
      </c>
      <c r="AG156" s="26">
        <v>0</v>
      </c>
      <c r="AI156" s="180">
        <v>7439976</v>
      </c>
      <c r="AM156" s="192">
        <f t="shared" si="16"/>
        <v>0</v>
      </c>
    </row>
    <row r="157" spans="1:41" s="18" customFormat="1" ht="24.95" customHeight="1">
      <c r="A157" s="243" t="s">
        <v>435</v>
      </c>
      <c r="B157" s="243" t="s">
        <v>363</v>
      </c>
      <c r="C157" s="243" t="s">
        <v>492</v>
      </c>
      <c r="D157" s="250" t="s">
        <v>602</v>
      </c>
      <c r="E157" s="243" t="s">
        <v>431</v>
      </c>
      <c r="F157" s="250">
        <v>3709100099</v>
      </c>
      <c r="G157" s="243" t="s">
        <v>432</v>
      </c>
      <c r="H157" s="243" t="s">
        <v>15</v>
      </c>
      <c r="I157" s="246" t="s">
        <v>681</v>
      </c>
      <c r="J157" s="250">
        <v>385.31596999999999</v>
      </c>
      <c r="K157" s="253" t="s">
        <v>32</v>
      </c>
      <c r="L157" s="242">
        <v>139.2672</v>
      </c>
      <c r="M157" s="250">
        <v>139.28</v>
      </c>
      <c r="N157" s="243" t="s">
        <v>259</v>
      </c>
      <c r="O157" s="243" t="s">
        <v>613</v>
      </c>
      <c r="P157" s="243" t="s">
        <v>16</v>
      </c>
      <c r="Q157" s="245">
        <v>2008</v>
      </c>
      <c r="R157" s="243" t="s">
        <v>433</v>
      </c>
      <c r="S157" s="243" t="s">
        <v>434</v>
      </c>
      <c r="T157" s="245">
        <v>583.32735154255954</v>
      </c>
      <c r="U157" s="245" t="s">
        <v>710</v>
      </c>
      <c r="V157" s="64" t="s">
        <v>780</v>
      </c>
      <c r="W157" s="18" t="s">
        <v>684</v>
      </c>
      <c r="X157" s="178" t="s">
        <v>886</v>
      </c>
      <c r="Y157" s="183" t="s">
        <v>887</v>
      </c>
      <c r="Z157" s="246" t="s">
        <v>888</v>
      </c>
      <c r="AA157" s="243" t="s">
        <v>889</v>
      </c>
      <c r="AB157" s="244" t="s">
        <v>890</v>
      </c>
      <c r="AC157" s="252" t="str">
        <f t="shared" ref="AC157" si="35">E157</f>
        <v>8311911</v>
      </c>
      <c r="AD157" s="252"/>
      <c r="AE157" s="252"/>
      <c r="AF157" s="252" t="s">
        <v>811</v>
      </c>
      <c r="AG157" s="252">
        <v>1</v>
      </c>
      <c r="AH157" s="242">
        <v>18580314</v>
      </c>
      <c r="AI157" s="180">
        <v>7439976</v>
      </c>
      <c r="AL157" s="330" t="s">
        <v>894</v>
      </c>
      <c r="AM157" s="192">
        <f t="shared" ref="AM157" si="36">LEN(AL157)</f>
        <v>166</v>
      </c>
      <c r="AN157" s="18">
        <v>10</v>
      </c>
    </row>
    <row r="158" spans="1:41" s="18" customFormat="1" ht="24.95" customHeight="1">
      <c r="A158" s="3" t="s">
        <v>273</v>
      </c>
      <c r="B158" s="3" t="s">
        <v>272</v>
      </c>
      <c r="C158" s="3" t="s">
        <v>502</v>
      </c>
      <c r="D158" s="5" t="s">
        <v>576</v>
      </c>
      <c r="E158" s="3" t="s">
        <v>437</v>
      </c>
      <c r="F158" s="5" t="s">
        <v>603</v>
      </c>
      <c r="G158" s="3" t="s">
        <v>438</v>
      </c>
      <c r="H158" s="3" t="s">
        <v>15</v>
      </c>
      <c r="I158" s="11" t="s">
        <v>681</v>
      </c>
      <c r="J158" s="5">
        <v>342.10989800000004</v>
      </c>
      <c r="K158" s="35" t="s">
        <v>95</v>
      </c>
      <c r="M158" s="5">
        <v>84.2</v>
      </c>
      <c r="N158" s="243" t="s">
        <v>439</v>
      </c>
      <c r="O158" s="3" t="s">
        <v>8</v>
      </c>
      <c r="P158" s="3" t="s">
        <v>16</v>
      </c>
      <c r="Q158" s="5">
        <v>1994</v>
      </c>
      <c r="R158" s="3" t="s">
        <v>440</v>
      </c>
      <c r="S158" s="3" t="s">
        <v>271</v>
      </c>
      <c r="T158" s="5" t="s">
        <v>8</v>
      </c>
      <c r="U158" s="5" t="s">
        <v>635</v>
      </c>
      <c r="V158" s="39" t="s">
        <v>741</v>
      </c>
      <c r="W158" s="37" t="s">
        <v>721</v>
      </c>
      <c r="Y158" s="19"/>
      <c r="Z158" s="3"/>
      <c r="AA158" s="3"/>
      <c r="AB158" s="4"/>
      <c r="AC158" s="119" t="str">
        <f t="shared" si="34"/>
        <v>8521511</v>
      </c>
      <c r="AD158" s="160"/>
      <c r="AE158" s="26"/>
      <c r="AF158" s="252" t="s">
        <v>808</v>
      </c>
      <c r="AG158" s="26">
        <f>ROUND(AJ158/(228+234),4)</f>
        <v>0.49349999999999999</v>
      </c>
      <c r="AH158" s="317">
        <v>101087814</v>
      </c>
      <c r="AI158" s="180">
        <v>7439976</v>
      </c>
      <c r="AJ158" s="18">
        <v>228</v>
      </c>
      <c r="AL158" s="315" t="s">
        <v>1012</v>
      </c>
      <c r="AM158" s="192">
        <f t="shared" si="16"/>
        <v>82</v>
      </c>
      <c r="AN158" s="18">
        <v>2</v>
      </c>
    </row>
    <row r="159" spans="1:41" s="18" customFormat="1" ht="24.95" customHeight="1">
      <c r="A159" s="243" t="s">
        <v>273</v>
      </c>
      <c r="B159" s="243" t="s">
        <v>272</v>
      </c>
      <c r="C159" s="243" t="s">
        <v>502</v>
      </c>
      <c r="D159" s="245" t="s">
        <v>576</v>
      </c>
      <c r="E159" s="243" t="s">
        <v>437</v>
      </c>
      <c r="F159" s="245" t="s">
        <v>603</v>
      </c>
      <c r="G159" s="243" t="s">
        <v>438</v>
      </c>
      <c r="H159" s="243" t="s">
        <v>15</v>
      </c>
      <c r="I159" s="246" t="s">
        <v>681</v>
      </c>
      <c r="J159" s="245">
        <v>342.10989800000004</v>
      </c>
      <c r="K159" s="253" t="s">
        <v>95</v>
      </c>
      <c r="M159" s="245">
        <v>84.2</v>
      </c>
      <c r="N159" s="243" t="s">
        <v>439</v>
      </c>
      <c r="O159" s="243" t="s">
        <v>8</v>
      </c>
      <c r="P159" s="243" t="s">
        <v>16</v>
      </c>
      <c r="Q159" s="245">
        <v>1994</v>
      </c>
      <c r="R159" s="243" t="s">
        <v>440</v>
      </c>
      <c r="S159" s="243" t="s">
        <v>271</v>
      </c>
      <c r="T159" s="245" t="s">
        <v>8</v>
      </c>
      <c r="U159" s="245" t="s">
        <v>635</v>
      </c>
      <c r="V159" s="39" t="s">
        <v>741</v>
      </c>
      <c r="W159" s="37" t="s">
        <v>721</v>
      </c>
      <c r="Y159" s="19"/>
      <c r="Z159" s="243"/>
      <c r="AA159" s="243"/>
      <c r="AB159" s="244"/>
      <c r="AC159" s="252" t="str">
        <f>E159</f>
        <v>8521511</v>
      </c>
      <c r="AD159" s="252"/>
      <c r="AE159" s="252"/>
      <c r="AF159" s="252" t="s">
        <v>808</v>
      </c>
      <c r="AG159" s="252">
        <f>ROUND(AJ159/(228+234),4)</f>
        <v>0.50649999999999995</v>
      </c>
      <c r="AH159" s="317">
        <v>101087914</v>
      </c>
      <c r="AI159" s="180">
        <v>7439976</v>
      </c>
      <c r="AJ159" s="18">
        <v>234</v>
      </c>
      <c r="AL159" s="315" t="s">
        <v>1009</v>
      </c>
      <c r="AM159" s="192">
        <f t="shared" si="16"/>
        <v>81</v>
      </c>
      <c r="AN159" s="18">
        <v>2</v>
      </c>
    </row>
    <row r="160" spans="1:41" s="18" customFormat="1" ht="24.95" customHeight="1">
      <c r="A160" s="3" t="s">
        <v>446</v>
      </c>
      <c r="B160" s="3" t="s">
        <v>93</v>
      </c>
      <c r="C160" s="3" t="s">
        <v>499</v>
      </c>
      <c r="D160" s="23" t="s">
        <v>530</v>
      </c>
      <c r="E160" s="3" t="s">
        <v>441</v>
      </c>
      <c r="F160" s="23" t="s">
        <v>604</v>
      </c>
      <c r="G160" s="3" t="s">
        <v>442</v>
      </c>
      <c r="H160" s="3" t="s">
        <v>8</v>
      </c>
      <c r="I160" s="11" t="s">
        <v>681</v>
      </c>
      <c r="J160" s="17"/>
      <c r="K160" s="51"/>
      <c r="L160" s="17"/>
      <c r="M160" s="3"/>
      <c r="N160" s="175" t="s">
        <v>443</v>
      </c>
      <c r="O160" s="3" t="s">
        <v>8</v>
      </c>
      <c r="P160" s="3" t="s">
        <v>16</v>
      </c>
      <c r="Q160" s="23">
        <v>2008</v>
      </c>
      <c r="R160" s="3" t="s">
        <v>444</v>
      </c>
      <c r="S160" s="3" t="s">
        <v>445</v>
      </c>
      <c r="T160" s="5">
        <v>66.728198947477523</v>
      </c>
      <c r="U160" s="5" t="s">
        <v>701</v>
      </c>
      <c r="V160" s="39" t="s">
        <v>743</v>
      </c>
      <c r="W160" s="18" t="s">
        <v>684</v>
      </c>
      <c r="X160" s="149" t="s">
        <v>868</v>
      </c>
      <c r="Y160" s="183" t="s">
        <v>898</v>
      </c>
      <c r="Z160" s="157" t="s">
        <v>866</v>
      </c>
      <c r="AA160" s="165" t="s">
        <v>869</v>
      </c>
      <c r="AB160" s="164" t="s">
        <v>863</v>
      </c>
      <c r="AC160" s="119" t="str">
        <f>E160</f>
        <v>9662811</v>
      </c>
      <c r="AD160" s="160"/>
      <c r="AE160" s="18">
        <v>40</v>
      </c>
      <c r="AF160" s="252" t="s">
        <v>966</v>
      </c>
      <c r="AG160" s="26">
        <v>1</v>
      </c>
      <c r="AH160" s="317">
        <v>71500314</v>
      </c>
      <c r="AI160" s="180">
        <v>7439976</v>
      </c>
      <c r="AK160" s="78">
        <v>40829</v>
      </c>
      <c r="AL160" s="316" t="s">
        <v>1015</v>
      </c>
      <c r="AM160" s="192">
        <f t="shared" si="16"/>
        <v>88</v>
      </c>
      <c r="AN160" s="18">
        <v>9</v>
      </c>
    </row>
    <row r="161" spans="1:40" s="18" customFormat="1" ht="24.95" customHeight="1">
      <c r="A161" s="243" t="s">
        <v>446</v>
      </c>
      <c r="B161" s="243" t="s">
        <v>93</v>
      </c>
      <c r="C161" s="243" t="s">
        <v>499</v>
      </c>
      <c r="D161" s="250" t="s">
        <v>530</v>
      </c>
      <c r="E161" s="243" t="s">
        <v>441</v>
      </c>
      <c r="F161" s="250" t="s">
        <v>604</v>
      </c>
      <c r="G161" s="243" t="s">
        <v>442</v>
      </c>
      <c r="H161" s="243" t="s">
        <v>8</v>
      </c>
      <c r="I161" s="246" t="s">
        <v>681</v>
      </c>
      <c r="J161" s="248"/>
      <c r="K161" s="51"/>
      <c r="L161" s="248"/>
      <c r="M161" s="243"/>
      <c r="N161" s="243" t="s">
        <v>443</v>
      </c>
      <c r="O161" s="243" t="s">
        <v>8</v>
      </c>
      <c r="P161" s="243" t="s">
        <v>16</v>
      </c>
      <c r="Q161" s="250">
        <v>2008</v>
      </c>
      <c r="R161" s="243" t="s">
        <v>444</v>
      </c>
      <c r="S161" s="243" t="s">
        <v>445</v>
      </c>
      <c r="T161" s="245">
        <v>66.728198947477523</v>
      </c>
      <c r="U161" s="245" t="s">
        <v>701</v>
      </c>
      <c r="V161" s="39" t="s">
        <v>743</v>
      </c>
      <c r="W161" s="18" t="s">
        <v>684</v>
      </c>
      <c r="X161" s="168" t="s">
        <v>868</v>
      </c>
      <c r="Y161" s="183" t="s">
        <v>898</v>
      </c>
      <c r="Z161" s="245" t="s">
        <v>866</v>
      </c>
      <c r="AA161" s="165" t="s">
        <v>869</v>
      </c>
      <c r="AB161" s="164" t="s">
        <v>863</v>
      </c>
      <c r="AC161" s="252" t="str">
        <f>E161</f>
        <v>9662811</v>
      </c>
      <c r="AD161" s="252"/>
      <c r="AE161" s="328" t="s">
        <v>635</v>
      </c>
      <c r="AF161" s="252" t="s">
        <v>811</v>
      </c>
      <c r="AG161" s="252">
        <v>1</v>
      </c>
      <c r="AH161" s="317">
        <v>71500314</v>
      </c>
      <c r="AI161" s="180">
        <v>7439976</v>
      </c>
      <c r="AK161" s="78">
        <v>40829</v>
      </c>
      <c r="AL161" s="330" t="s">
        <v>894</v>
      </c>
      <c r="AM161" s="192">
        <f t="shared" ref="AM161" si="37">LEN(AL161)</f>
        <v>166</v>
      </c>
      <c r="AN161" s="18">
        <v>10</v>
      </c>
    </row>
    <row r="162" spans="1:40" s="18" customFormat="1" ht="24.95" customHeight="1">
      <c r="A162" s="3" t="s">
        <v>464</v>
      </c>
      <c r="B162" s="3" t="s">
        <v>62</v>
      </c>
      <c r="C162" s="3" t="s">
        <v>640</v>
      </c>
      <c r="D162" s="23" t="s">
        <v>608</v>
      </c>
      <c r="E162" s="3" t="s">
        <v>459</v>
      </c>
      <c r="F162" s="23" t="s">
        <v>607</v>
      </c>
      <c r="G162" s="3" t="s">
        <v>460</v>
      </c>
      <c r="H162" s="3" t="s">
        <v>8</v>
      </c>
      <c r="I162" s="11" t="s">
        <v>681</v>
      </c>
      <c r="J162" s="17"/>
      <c r="K162" s="51"/>
      <c r="L162" s="17"/>
      <c r="M162" s="23">
        <v>3.4299999999999997</v>
      </c>
      <c r="N162" s="3" t="s">
        <v>461</v>
      </c>
      <c r="O162" s="3" t="s">
        <v>616</v>
      </c>
      <c r="P162" s="3" t="s">
        <v>16</v>
      </c>
      <c r="Q162" s="3"/>
      <c r="R162" s="3" t="s">
        <v>462</v>
      </c>
      <c r="S162" s="3" t="s">
        <v>463</v>
      </c>
      <c r="T162" s="5" t="s">
        <v>8</v>
      </c>
      <c r="U162" s="5" t="s">
        <v>635</v>
      </c>
      <c r="V162" s="15" t="s">
        <v>744</v>
      </c>
      <c r="W162" s="37" t="s">
        <v>721</v>
      </c>
      <c r="X162" s="263" t="s">
        <v>819</v>
      </c>
      <c r="Y162" s="264" t="s">
        <v>962</v>
      </c>
      <c r="Z162" s="243" t="s">
        <v>963</v>
      </c>
      <c r="AA162" s="243" t="s">
        <v>964</v>
      </c>
      <c r="AB162" s="244" t="s">
        <v>964</v>
      </c>
      <c r="AC162" s="119" t="str">
        <f t="shared" si="34"/>
        <v>12569611</v>
      </c>
      <c r="AD162" s="160"/>
      <c r="AE162" s="26"/>
      <c r="AF162" s="252" t="s">
        <v>808</v>
      </c>
      <c r="AG162" s="26">
        <v>1</v>
      </c>
      <c r="AH162" s="94" t="s">
        <v>965</v>
      </c>
      <c r="AI162" s="180">
        <v>7439976</v>
      </c>
      <c r="AK162" s="78">
        <v>40841</v>
      </c>
      <c r="AL162" s="316" t="s">
        <v>1014</v>
      </c>
      <c r="AM162" s="192">
        <f t="shared" si="16"/>
        <v>57</v>
      </c>
      <c r="AN162" s="18">
        <v>2</v>
      </c>
    </row>
    <row r="163" spans="1:40" s="18" customFormat="1" ht="24.95" customHeight="1">
      <c r="A163" s="3" t="s">
        <v>273</v>
      </c>
      <c r="B163" s="3" t="s">
        <v>272</v>
      </c>
      <c r="C163" s="3" t="s">
        <v>502</v>
      </c>
      <c r="D163" s="23" t="s">
        <v>576</v>
      </c>
      <c r="E163" s="3" t="s">
        <v>465</v>
      </c>
      <c r="F163" s="23" t="s">
        <v>609</v>
      </c>
      <c r="G163" s="3" t="s">
        <v>8</v>
      </c>
      <c r="H163" s="3" t="s">
        <v>8</v>
      </c>
      <c r="I163" s="11" t="s">
        <v>681</v>
      </c>
      <c r="J163" s="17"/>
      <c r="K163" s="51"/>
      <c r="M163" s="17"/>
      <c r="N163" s="243" t="s">
        <v>466</v>
      </c>
      <c r="O163" s="3" t="s">
        <v>8</v>
      </c>
      <c r="P163" s="3" t="s">
        <v>16</v>
      </c>
      <c r="Q163" s="5">
        <v>2007</v>
      </c>
      <c r="R163" s="3" t="s">
        <v>436</v>
      </c>
      <c r="S163" s="3" t="s">
        <v>271</v>
      </c>
      <c r="T163" s="5">
        <v>0.44352521109131304</v>
      </c>
      <c r="U163" s="5" t="s">
        <v>702</v>
      </c>
      <c r="V163" s="45" t="s">
        <v>735</v>
      </c>
      <c r="W163" s="18" t="s">
        <v>684</v>
      </c>
      <c r="Y163" s="302" t="s">
        <v>984</v>
      </c>
      <c r="Z163" s="3"/>
      <c r="AA163" s="3"/>
      <c r="AB163" s="4"/>
      <c r="AC163" s="119" t="str">
        <f t="shared" si="34"/>
        <v>13572711</v>
      </c>
      <c r="AD163" s="252" t="s">
        <v>915</v>
      </c>
      <c r="AE163" s="18">
        <v>0.97399999999999998</v>
      </c>
      <c r="AF163" s="252" t="s">
        <v>810</v>
      </c>
      <c r="AG163" s="26">
        <v>0</v>
      </c>
      <c r="AH163" s="94" t="s">
        <v>954</v>
      </c>
      <c r="AI163" s="180">
        <v>7439976</v>
      </c>
      <c r="AJ163" s="257" t="s">
        <v>635</v>
      </c>
      <c r="AL163" s="302" t="s">
        <v>635</v>
      </c>
      <c r="AM163" s="192">
        <f t="shared" si="16"/>
        <v>1</v>
      </c>
      <c r="AN163" s="282" t="s">
        <v>635</v>
      </c>
    </row>
    <row r="164" spans="1:40" s="18" customFormat="1" ht="24.95" customHeight="1">
      <c r="A164" s="243" t="s">
        <v>273</v>
      </c>
      <c r="B164" s="243" t="s">
        <v>272</v>
      </c>
      <c r="C164" s="243" t="s">
        <v>502</v>
      </c>
      <c r="D164" s="250" t="s">
        <v>576</v>
      </c>
      <c r="E164" s="243" t="s">
        <v>465</v>
      </c>
      <c r="F164" s="250" t="s">
        <v>609</v>
      </c>
      <c r="G164" s="243" t="s">
        <v>8</v>
      </c>
      <c r="H164" s="243" t="s">
        <v>8</v>
      </c>
      <c r="I164" s="246" t="s">
        <v>681</v>
      </c>
      <c r="J164" s="248"/>
      <c r="K164" s="51"/>
      <c r="M164" s="248"/>
      <c r="N164" s="243" t="s">
        <v>466</v>
      </c>
      <c r="O164" s="243" t="s">
        <v>8</v>
      </c>
      <c r="P164" s="243" t="s">
        <v>16</v>
      </c>
      <c r="Q164" s="245">
        <v>2007</v>
      </c>
      <c r="R164" s="243" t="s">
        <v>436</v>
      </c>
      <c r="S164" s="243" t="s">
        <v>271</v>
      </c>
      <c r="T164" s="245">
        <v>0.44352521109131304</v>
      </c>
      <c r="U164" s="245" t="s">
        <v>702</v>
      </c>
      <c r="V164" s="45" t="s">
        <v>735</v>
      </c>
      <c r="W164" s="18" t="s">
        <v>684</v>
      </c>
      <c r="Y164" s="302" t="s">
        <v>984</v>
      </c>
      <c r="Z164" s="243"/>
      <c r="AA164" s="243"/>
      <c r="AB164" s="244"/>
      <c r="AC164" s="252" t="str">
        <f t="shared" ref="AC164" si="38">E164</f>
        <v>13572711</v>
      </c>
      <c r="AD164" s="252" t="s">
        <v>915</v>
      </c>
      <c r="AE164" s="18">
        <v>0.97399999999999998</v>
      </c>
      <c r="AF164" s="252" t="s">
        <v>811</v>
      </c>
      <c r="AG164" s="252">
        <v>1</v>
      </c>
      <c r="AH164" s="317">
        <v>101096714</v>
      </c>
      <c r="AI164" s="180">
        <v>7439976</v>
      </c>
      <c r="AJ164" s="257" t="s">
        <v>635</v>
      </c>
      <c r="AL164" s="330" t="s">
        <v>1043</v>
      </c>
      <c r="AM164" s="192">
        <f t="shared" ref="AM164" si="39">LEN(AL164)</f>
        <v>231</v>
      </c>
      <c r="AN164" s="282">
        <v>10</v>
      </c>
    </row>
    <row r="165" spans="1:40" s="18" customFormat="1" ht="24.95" customHeight="1">
      <c r="A165" s="8" t="s">
        <v>273</v>
      </c>
      <c r="B165" s="8" t="s">
        <v>272</v>
      </c>
      <c r="C165" s="3" t="s">
        <v>502</v>
      </c>
      <c r="D165" s="24" t="s">
        <v>576</v>
      </c>
      <c r="E165" s="8" t="s">
        <v>467</v>
      </c>
      <c r="F165" s="24" t="s">
        <v>610</v>
      </c>
      <c r="G165" s="8" t="s">
        <v>8</v>
      </c>
      <c r="H165" s="8" t="s">
        <v>8</v>
      </c>
      <c r="I165" s="11" t="s">
        <v>681</v>
      </c>
      <c r="J165" s="8"/>
      <c r="K165" s="52"/>
      <c r="M165" s="8"/>
      <c r="N165" s="8" t="s">
        <v>468</v>
      </c>
      <c r="O165" s="8" t="s">
        <v>8</v>
      </c>
      <c r="P165" s="8" t="s">
        <v>16</v>
      </c>
      <c r="Q165" s="24">
        <v>2007</v>
      </c>
      <c r="R165" s="8" t="s">
        <v>436</v>
      </c>
      <c r="S165" s="3" t="s">
        <v>271</v>
      </c>
      <c r="T165" s="24">
        <v>0.642228709388313</v>
      </c>
      <c r="U165" s="5" t="s">
        <v>703</v>
      </c>
      <c r="V165" s="45" t="s">
        <v>735</v>
      </c>
      <c r="W165" s="28" t="s">
        <v>684</v>
      </c>
      <c r="Y165" s="302" t="s">
        <v>984</v>
      </c>
      <c r="Z165" s="8"/>
      <c r="AA165" s="8"/>
      <c r="AB165" s="26"/>
      <c r="AC165" s="119" t="str">
        <f t="shared" si="34"/>
        <v>13572911</v>
      </c>
      <c r="AD165" s="160"/>
      <c r="AE165" s="242">
        <v>0.45618999999999998</v>
      </c>
      <c r="AF165" s="252" t="s">
        <v>810</v>
      </c>
      <c r="AG165" s="26">
        <v>0</v>
      </c>
      <c r="AH165" s="94" t="s">
        <v>955</v>
      </c>
      <c r="AI165" s="180">
        <v>7439976</v>
      </c>
      <c r="AK165" s="78">
        <v>40840</v>
      </c>
      <c r="AL165" s="258" t="s">
        <v>951</v>
      </c>
      <c r="AM165" s="192">
        <f t="shared" si="16"/>
        <v>142</v>
      </c>
      <c r="AN165" s="282" t="s">
        <v>635</v>
      </c>
    </row>
    <row r="166" spans="1:40" s="18" customFormat="1" ht="24.95" customHeight="1">
      <c r="A166" s="8" t="s">
        <v>273</v>
      </c>
      <c r="B166" s="8" t="s">
        <v>272</v>
      </c>
      <c r="C166" s="243" t="s">
        <v>502</v>
      </c>
      <c r="D166" s="251" t="s">
        <v>576</v>
      </c>
      <c r="E166" s="8" t="s">
        <v>467</v>
      </c>
      <c r="F166" s="251" t="s">
        <v>610</v>
      </c>
      <c r="G166" s="8" t="s">
        <v>8</v>
      </c>
      <c r="H166" s="8" t="s">
        <v>8</v>
      </c>
      <c r="I166" s="246" t="s">
        <v>681</v>
      </c>
      <c r="J166" s="8"/>
      <c r="K166" s="52"/>
      <c r="M166" s="8"/>
      <c r="N166" s="8" t="s">
        <v>468</v>
      </c>
      <c r="O166" s="8" t="s">
        <v>8</v>
      </c>
      <c r="P166" s="8" t="s">
        <v>16</v>
      </c>
      <c r="Q166" s="251">
        <v>2007</v>
      </c>
      <c r="R166" s="8" t="s">
        <v>436</v>
      </c>
      <c r="S166" s="243" t="s">
        <v>271</v>
      </c>
      <c r="T166" s="251">
        <v>0.642228709388313</v>
      </c>
      <c r="U166" s="245" t="s">
        <v>703</v>
      </c>
      <c r="V166" s="45" t="s">
        <v>735</v>
      </c>
      <c r="W166" s="28" t="s">
        <v>684</v>
      </c>
      <c r="Y166" s="302" t="s">
        <v>984</v>
      </c>
      <c r="Z166" s="8"/>
      <c r="AA166" s="8"/>
      <c r="AB166" s="252"/>
      <c r="AC166" s="252" t="str">
        <f t="shared" ref="AC166:AC174" si="40">E166</f>
        <v>13572911</v>
      </c>
      <c r="AD166" s="252"/>
      <c r="AE166" s="242">
        <v>0.45618999999999998</v>
      </c>
      <c r="AF166" s="252" t="s">
        <v>810</v>
      </c>
      <c r="AG166" s="252">
        <v>0</v>
      </c>
      <c r="AH166" s="317">
        <v>101099614</v>
      </c>
      <c r="AI166" s="180">
        <v>7439976</v>
      </c>
      <c r="AK166" s="78">
        <v>40840</v>
      </c>
      <c r="AL166" s="258" t="s">
        <v>951</v>
      </c>
      <c r="AM166" s="192">
        <f t="shared" si="16"/>
        <v>142</v>
      </c>
      <c r="AN166" s="282">
        <v>13</v>
      </c>
    </row>
    <row r="167" spans="1:40" s="18" customFormat="1" ht="24.95" customHeight="1">
      <c r="A167" s="283" t="s">
        <v>986</v>
      </c>
      <c r="B167" s="282" t="s">
        <v>363</v>
      </c>
      <c r="C167" s="282" t="s">
        <v>987</v>
      </c>
      <c r="D167" s="281" t="s">
        <v>988</v>
      </c>
      <c r="E167" s="301" t="s">
        <v>994</v>
      </c>
      <c r="F167" s="283" t="s">
        <v>989</v>
      </c>
      <c r="I167" s="246" t="s">
        <v>681</v>
      </c>
      <c r="K167" s="303"/>
      <c r="L167" s="18">
        <v>61.2</v>
      </c>
      <c r="N167" s="281" t="s">
        <v>985</v>
      </c>
      <c r="S167" s="282" t="s">
        <v>990</v>
      </c>
      <c r="T167" s="304">
        <v>186.06653538490156</v>
      </c>
      <c r="U167" s="305" t="s">
        <v>991</v>
      </c>
      <c r="V167" s="282" t="s">
        <v>992</v>
      </c>
      <c r="W167" s="28" t="s">
        <v>684</v>
      </c>
      <c r="X167" s="306" t="s">
        <v>886</v>
      </c>
      <c r="Y167" s="307" t="s">
        <v>993</v>
      </c>
      <c r="AB167" s="308"/>
      <c r="AC167" s="308" t="str">
        <f t="shared" si="40"/>
        <v>8048711</v>
      </c>
      <c r="AD167" s="308"/>
      <c r="AE167" s="308"/>
      <c r="AF167" s="309" t="s">
        <v>810</v>
      </c>
      <c r="AG167" s="308">
        <v>0</v>
      </c>
      <c r="AH167" s="317">
        <v>18818614</v>
      </c>
      <c r="AI167" s="180">
        <v>7439976</v>
      </c>
      <c r="AM167" s="192">
        <f>LEN(AL167)</f>
        <v>0</v>
      </c>
    </row>
    <row r="168" spans="1:40" s="18" customFormat="1" ht="24.95" customHeight="1">
      <c r="A168" s="283" t="s">
        <v>986</v>
      </c>
      <c r="B168" s="282" t="s">
        <v>363</v>
      </c>
      <c r="C168" s="282" t="s">
        <v>987</v>
      </c>
      <c r="D168" s="281" t="s">
        <v>988</v>
      </c>
      <c r="E168" s="301" t="s">
        <v>994</v>
      </c>
      <c r="F168" s="283" t="s">
        <v>989</v>
      </c>
      <c r="I168" s="246" t="s">
        <v>681</v>
      </c>
      <c r="K168" s="303"/>
      <c r="L168" s="18">
        <v>61.2</v>
      </c>
      <c r="N168" s="281" t="s">
        <v>985</v>
      </c>
      <c r="S168" s="282" t="s">
        <v>990</v>
      </c>
      <c r="T168" s="304">
        <v>186.06653538490156</v>
      </c>
      <c r="U168" s="305" t="s">
        <v>991</v>
      </c>
      <c r="V168" s="282" t="s">
        <v>992</v>
      </c>
      <c r="W168" s="28" t="s">
        <v>684</v>
      </c>
      <c r="X168" s="306" t="s">
        <v>886</v>
      </c>
      <c r="Y168" s="307" t="s">
        <v>993</v>
      </c>
      <c r="AB168" s="308"/>
      <c r="AC168" s="308" t="str">
        <f t="shared" si="40"/>
        <v>8048711</v>
      </c>
      <c r="AD168" s="308"/>
      <c r="AE168" s="308"/>
      <c r="AF168" s="338" t="s">
        <v>811</v>
      </c>
      <c r="AG168" s="308">
        <v>1</v>
      </c>
      <c r="AH168" s="317">
        <v>18818614</v>
      </c>
      <c r="AI168" s="180">
        <v>7439976</v>
      </c>
      <c r="AK168" s="337">
        <v>40863</v>
      </c>
      <c r="AL168" s="192" t="s">
        <v>894</v>
      </c>
      <c r="AM168" s="192">
        <f>LEN(AL168)</f>
        <v>166</v>
      </c>
      <c r="AN168" s="18">
        <v>10</v>
      </c>
    </row>
    <row r="169" spans="1:40" ht="24.95" customHeight="1">
      <c r="A169" s="94" t="s">
        <v>1023</v>
      </c>
      <c r="B169" s="326" t="s">
        <v>1024</v>
      </c>
      <c r="C169" t="s">
        <v>1025</v>
      </c>
      <c r="D169" t="s">
        <v>1026</v>
      </c>
      <c r="E169">
        <v>7442611</v>
      </c>
      <c r="F169">
        <v>18052</v>
      </c>
      <c r="L169" s="2">
        <v>44.9</v>
      </c>
      <c r="N169" t="s">
        <v>1027</v>
      </c>
      <c r="S169" t="s">
        <v>1028</v>
      </c>
      <c r="T169" s="2">
        <v>77</v>
      </c>
      <c r="U169" s="326" t="s">
        <v>1029</v>
      </c>
      <c r="V169" s="326" t="s">
        <v>1030</v>
      </c>
      <c r="AC169" s="77">
        <f t="shared" si="40"/>
        <v>7442611</v>
      </c>
      <c r="AE169" s="9">
        <v>61</v>
      </c>
      <c r="AF169" s="327" t="s">
        <v>966</v>
      </c>
      <c r="AG169" s="77">
        <v>1</v>
      </c>
      <c r="AH169" s="242">
        <v>91825114</v>
      </c>
      <c r="AI169" s="180">
        <v>7439976</v>
      </c>
      <c r="AK169" s="326" t="s">
        <v>1031</v>
      </c>
      <c r="AL169" s="350" t="s">
        <v>1061</v>
      </c>
      <c r="AM169" s="192">
        <f t="shared" si="16"/>
        <v>216</v>
      </c>
      <c r="AN169" s="2">
        <v>10</v>
      </c>
    </row>
    <row r="170" spans="1:40" ht="24.95" customHeight="1">
      <c r="A170" s="94" t="s">
        <v>1023</v>
      </c>
      <c r="B170" s="326" t="s">
        <v>1024</v>
      </c>
      <c r="C170" s="242" t="s">
        <v>1025</v>
      </c>
      <c r="D170" s="242" t="s">
        <v>1026</v>
      </c>
      <c r="E170" s="242">
        <v>7442611</v>
      </c>
      <c r="F170" s="242">
        <v>18052</v>
      </c>
      <c r="L170" s="2">
        <v>44.9</v>
      </c>
      <c r="N170" s="242" t="s">
        <v>1027</v>
      </c>
      <c r="S170" s="242" t="s">
        <v>1028</v>
      </c>
      <c r="T170" s="2">
        <v>77</v>
      </c>
      <c r="U170" s="326" t="s">
        <v>1029</v>
      </c>
      <c r="V170" s="326" t="s">
        <v>1030</v>
      </c>
      <c r="AC170" s="77">
        <f t="shared" si="40"/>
        <v>7442611</v>
      </c>
      <c r="AE170" s="9">
        <v>0</v>
      </c>
      <c r="AF170" s="327" t="s">
        <v>966</v>
      </c>
      <c r="AG170" s="77">
        <v>1</v>
      </c>
      <c r="AH170" s="242">
        <v>91827914</v>
      </c>
      <c r="AI170" s="180">
        <v>7439976</v>
      </c>
      <c r="AK170" s="326" t="s">
        <v>1031</v>
      </c>
      <c r="AL170" s="350" t="s">
        <v>1060</v>
      </c>
      <c r="AM170" s="192">
        <f t="shared" ref="AM170:AM173" si="41">LEN(AL170)</f>
        <v>234</v>
      </c>
      <c r="AN170" s="2">
        <v>10</v>
      </c>
    </row>
    <row r="171" spans="1:40" ht="24.95" customHeight="1">
      <c r="A171" s="94" t="s">
        <v>1023</v>
      </c>
      <c r="B171" s="326" t="s">
        <v>1024</v>
      </c>
      <c r="C171" s="242" t="s">
        <v>1025</v>
      </c>
      <c r="D171" s="242" t="s">
        <v>1026</v>
      </c>
      <c r="E171" s="242">
        <v>7442611</v>
      </c>
      <c r="F171" s="242">
        <v>18052</v>
      </c>
      <c r="L171" s="2">
        <v>44.9</v>
      </c>
      <c r="N171" s="242" t="s">
        <v>1027</v>
      </c>
      <c r="S171" s="242" t="s">
        <v>1028</v>
      </c>
      <c r="T171" s="2">
        <v>77</v>
      </c>
      <c r="U171" s="326" t="s">
        <v>1029</v>
      </c>
      <c r="V171" s="326" t="s">
        <v>1030</v>
      </c>
      <c r="AC171" s="77">
        <f t="shared" si="40"/>
        <v>7442611</v>
      </c>
      <c r="AE171" s="327" t="s">
        <v>635</v>
      </c>
      <c r="AF171" s="327" t="s">
        <v>811</v>
      </c>
      <c r="AG171" s="77">
        <v>1</v>
      </c>
      <c r="AH171" s="242">
        <v>91825114</v>
      </c>
      <c r="AI171" s="180">
        <v>7439976</v>
      </c>
      <c r="AK171" s="326" t="s">
        <v>1031</v>
      </c>
      <c r="AL171" s="351" t="s">
        <v>1059</v>
      </c>
      <c r="AM171" s="192">
        <f>LEN(AL171)</f>
        <v>235</v>
      </c>
      <c r="AN171" s="2">
        <v>10</v>
      </c>
    </row>
    <row r="172" spans="1:40" ht="24.95" customHeight="1">
      <c r="A172" s="94" t="s">
        <v>1023</v>
      </c>
      <c r="B172" s="326" t="s">
        <v>1024</v>
      </c>
      <c r="C172" s="242" t="s">
        <v>1025</v>
      </c>
      <c r="D172" s="242" t="s">
        <v>1026</v>
      </c>
      <c r="E172" s="242">
        <v>7442611</v>
      </c>
      <c r="F172" s="242">
        <v>18052</v>
      </c>
      <c r="L172" s="2">
        <v>44.9</v>
      </c>
      <c r="N172" s="242" t="s">
        <v>1027</v>
      </c>
      <c r="S172" s="242" t="s">
        <v>1028</v>
      </c>
      <c r="T172" s="2">
        <v>0</v>
      </c>
      <c r="U172" s="326" t="s">
        <v>1029</v>
      </c>
      <c r="V172" s="326" t="s">
        <v>1030</v>
      </c>
      <c r="AC172" s="77">
        <f t="shared" si="40"/>
        <v>7442611</v>
      </c>
      <c r="AE172" s="9">
        <v>0</v>
      </c>
      <c r="AF172" s="327" t="s">
        <v>811</v>
      </c>
      <c r="AG172" s="77">
        <v>1</v>
      </c>
      <c r="AH172" s="242">
        <v>91827914</v>
      </c>
      <c r="AI172" s="180">
        <v>7439976</v>
      </c>
      <c r="AK172" s="326" t="s">
        <v>1031</v>
      </c>
      <c r="AL172" s="350" t="s">
        <v>1056</v>
      </c>
      <c r="AM172" s="192">
        <f>LEN(AL172)</f>
        <v>229</v>
      </c>
      <c r="AN172" s="2">
        <v>10</v>
      </c>
    </row>
    <row r="173" spans="1:40" ht="24.95" customHeight="1">
      <c r="A173" s="94" t="s">
        <v>1034</v>
      </c>
      <c r="B173" s="326" t="s">
        <v>1033</v>
      </c>
      <c r="C173" t="s">
        <v>1035</v>
      </c>
      <c r="D173" t="s">
        <v>1036</v>
      </c>
      <c r="E173" s="242">
        <v>715211</v>
      </c>
      <c r="F173">
        <v>1000300063</v>
      </c>
      <c r="L173" s="329">
        <v>280</v>
      </c>
      <c r="N173" s="2" t="s">
        <v>1032</v>
      </c>
      <c r="R173" t="s">
        <v>1038</v>
      </c>
      <c r="S173" t="s">
        <v>1037</v>
      </c>
      <c r="T173" s="2">
        <v>191</v>
      </c>
      <c r="U173" s="326" t="s">
        <v>1041</v>
      </c>
      <c r="V173" s="326" t="s">
        <v>1030</v>
      </c>
      <c r="AC173" s="77">
        <f t="shared" si="40"/>
        <v>715211</v>
      </c>
      <c r="AE173" s="2">
        <f>0.00039*417916</f>
        <v>162.98723999999999</v>
      </c>
      <c r="AF173" s="327" t="s">
        <v>966</v>
      </c>
      <c r="AG173" s="77">
        <v>1</v>
      </c>
      <c r="AH173" s="242">
        <v>48985214</v>
      </c>
      <c r="AI173" s="180">
        <v>7439976</v>
      </c>
      <c r="AK173" s="326" t="s">
        <v>1039</v>
      </c>
      <c r="AL173" s="2" t="s">
        <v>1040</v>
      </c>
      <c r="AM173" s="192">
        <f t="shared" si="41"/>
        <v>200</v>
      </c>
      <c r="AN173" s="2">
        <v>10</v>
      </c>
    </row>
    <row r="174" spans="1:40" ht="24.95" customHeight="1">
      <c r="A174" s="94" t="s">
        <v>1034</v>
      </c>
      <c r="B174" s="326" t="s">
        <v>1033</v>
      </c>
      <c r="C174" s="242" t="s">
        <v>1035</v>
      </c>
      <c r="D174" s="242" t="s">
        <v>1036</v>
      </c>
      <c r="E174" s="242">
        <v>715211</v>
      </c>
      <c r="F174" s="242">
        <v>1000300063</v>
      </c>
      <c r="L174" s="329">
        <v>280</v>
      </c>
      <c r="N174" s="2" t="s">
        <v>1032</v>
      </c>
      <c r="R174" s="242" t="s">
        <v>1038</v>
      </c>
      <c r="S174" s="242" t="s">
        <v>1037</v>
      </c>
      <c r="T174" s="2">
        <v>191</v>
      </c>
      <c r="U174" s="326" t="s">
        <v>1041</v>
      </c>
      <c r="V174" s="326" t="s">
        <v>1030</v>
      </c>
      <c r="AC174" s="77">
        <f t="shared" si="40"/>
        <v>715211</v>
      </c>
      <c r="AE174" s="326" t="s">
        <v>635</v>
      </c>
      <c r="AF174" s="327" t="s">
        <v>811</v>
      </c>
      <c r="AG174" s="77">
        <v>1</v>
      </c>
      <c r="AH174" s="242">
        <v>48985214</v>
      </c>
      <c r="AI174" s="180">
        <v>7439976</v>
      </c>
      <c r="AK174" s="326" t="s">
        <v>1039</v>
      </c>
      <c r="AL174" s="328" t="s">
        <v>1042</v>
      </c>
      <c r="AM174" s="192">
        <f t="shared" ref="AM174" si="42">LEN(AL174)</f>
        <v>247</v>
      </c>
      <c r="AN174" s="2">
        <v>10</v>
      </c>
    </row>
    <row r="175" spans="1:40" ht="24.95" customHeight="1">
      <c r="G175" s="236" t="s">
        <v>635</v>
      </c>
      <c r="AL175" s="326" t="s">
        <v>635</v>
      </c>
    </row>
    <row r="178" spans="3:39" ht="24.95" customHeight="1">
      <c r="AM178" s="354" t="s">
        <v>1063</v>
      </c>
    </row>
    <row r="186" spans="3:39" ht="24.95" customHeight="1">
      <c r="C186" s="242"/>
    </row>
  </sheetData>
  <autoFilter ref="A1:AP175">
    <filterColumn colId="4"/>
  </autoFilter>
  <sortState ref="K2:BP117">
    <sortCondition ref="K2:K117"/>
  </sortState>
  <pageMargins left="0.7" right="0.7"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EAF Facilities 2008</vt:lpstr>
    </vt:vector>
  </TitlesOfParts>
  <Company>TranSystems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jgdorn</dc:creator>
  <cp:lastModifiedBy>Madeleine Strum</cp:lastModifiedBy>
  <cp:lastPrinted>2011-09-12T19:37:13Z</cp:lastPrinted>
  <dcterms:created xsi:type="dcterms:W3CDTF">2011-09-06T04:17:54Z</dcterms:created>
  <dcterms:modified xsi:type="dcterms:W3CDTF">2012-01-30T23:21:53Z</dcterms:modified>
</cp:coreProperties>
</file>